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10.2021" sheetId="1" r:id="rId1"/>
  </sheets>
  <externalReferences>
    <externalReference r:id="rId4"/>
  </externalReferences>
  <definedNames>
    <definedName name="TABLE" localSheetId="0">'01.10.2021'!#REF!</definedName>
    <definedName name="TABLE_2" localSheetId="0">'01.10.2021'!#REF!</definedName>
    <definedName name="_xlnm.Print_Area" localSheetId="0">'01.10.2021'!$A$1:$P$1265</definedName>
  </definedNames>
  <calcPr fullCalcOnLoad="1"/>
</workbook>
</file>

<file path=xl/sharedStrings.xml><?xml version="1.0" encoding="utf-8"?>
<sst xmlns="http://schemas.openxmlformats.org/spreadsheetml/2006/main" count="2936" uniqueCount="823">
  <si>
    <t>Наименование показателя</t>
  </si>
  <si>
    <t>Код строки</t>
  </si>
  <si>
    <t>за пределами планового периода</t>
  </si>
  <si>
    <t>(подпись)</t>
  </si>
  <si>
    <t>Утверждаю</t>
  </si>
  <si>
    <t>Раздел 1. Поступления и выплаты</t>
  </si>
  <si>
    <t>х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</si>
  <si>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</si>
  <si>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</si>
  <si>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</si>
  <si>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</si>
  <si>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</si>
  <si>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</si>
  <si>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</si>
  <si>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</si>
  <si>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</si>
  <si>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</si>
  <si>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</si>
  <si>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</si>
  <si>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</si>
  <si>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</si>
  <si>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</si>
  <si>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</si>
  <si>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</si>
  <si>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</si>
  <si>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</si>
  <si>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</si>
  <si>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</si>
  <si>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</si>
  <si>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</si>
  <si>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</si>
  <si>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</si>
  <si>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</si>
  <si>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</si>
  <si>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</si>
  <si>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</si>
  <si>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</si>
  <si>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</si>
  <si>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</si>
  <si>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</si>
  <si>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</si>
  <si>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</si>
  <si>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</si>
  <si>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</si>
  <si>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</si>
  <si>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</si>
  <si>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</si>
  <si>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</si>
  <si>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</si>
  <si>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</si>
  <si>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</si>
  <si>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</si>
  <si>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</si>
  <si>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</si>
  <si>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</si>
  <si>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</si>
  <si>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</si>
  <si>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</si>
  <si>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</si>
  <si>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</si>
  <si>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</si>
  <si>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</si>
  <si>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</si>
  <si>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</si>
  <si>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</si>
  <si>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</si>
  <si>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</si>
  <si>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</si>
  <si>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</si>
  <si>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</si>
  <si>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</si>
  <si>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</si>
  <si>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</si>
  <si>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</si>
  <si>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</si>
  <si>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</si>
  <si>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</si>
  <si>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</si>
  <si>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</si>
  <si>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</si>
  <si>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</si>
  <si>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</si>
  <si>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</si>
  <si>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</si>
  <si>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</si>
  <si>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</si>
  <si>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</si>
  <si>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</si>
  <si>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</si>
  <si>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</si>
  <si>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</si>
  <si>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</si>
  <si>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</si>
  <si>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</si>
  <si>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</si>
  <si>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</si>
  <si>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</si>
  <si>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</si>
  <si>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</si>
  <si>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</si>
  <si>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</si>
  <si>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</si>
  <si>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</si>
  <si>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</si>
  <si>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</si>
  <si>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</si>
  <si>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</si>
  <si>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</si>
  <si>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</si>
  <si>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</si>
  <si>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</si>
  <si>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</si>
  <si>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</si>
  <si>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</si>
  <si>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</si>
  <si>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</si>
  <si>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</si>
  <si>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</si>
  <si>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</si>
  <si>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</si>
  <si>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</si>
  <si>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</si>
  <si>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</si>
  <si>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</si>
  <si>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</si>
  <si>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Субсидии на финансовое обеспечение выполнения муниципального задания из краевого бюджета</t>
  </si>
  <si>
    <t>Субсидии на финансовое обеспечение выполнения муниципального задания из местного бюджета</t>
  </si>
  <si>
    <t>Платные услуги</t>
  </si>
  <si>
    <t xml:space="preserve">Аналитический код </t>
  </si>
  <si>
    <t>на 2021 г.</t>
  </si>
  <si>
    <t>Итого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</si>
  <si>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</si>
  <si>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</si>
  <si>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</si>
  <si>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</si>
  <si>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</si>
  <si>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</si>
  <si>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</si>
  <si>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Субсидии представляемые в соответствии с абзацем вторым пункта 1 статьи 78.1 бюджетного кодекса Российской Федерации (район)</t>
  </si>
  <si>
    <t>Код по бюджетной классификации РФ</t>
  </si>
  <si>
    <t>Субсидии представляемые в соответствии с абзацем вторым пункта 1 статьи 78.1 бюджетного кодекса Российской Федерации ( край)</t>
  </si>
  <si>
    <t>текущий период</t>
  </si>
  <si>
    <t>(наименование должности уполномоченного лица)</t>
  </si>
  <si>
    <t>(наименование органа - учредителя (учреждения)</t>
  </si>
  <si>
    <t>(расшифровка подписи)</t>
  </si>
  <si>
    <t>0001</t>
  </si>
  <si>
    <t>0002</t>
  </si>
  <si>
    <t>Расчет плановых показателей по прочим поступлениям (510)</t>
  </si>
  <si>
    <t>Полное наименование</t>
  </si>
  <si>
    <t>учреждений</t>
  </si>
  <si>
    <t>Аналитический код подвида</t>
  </si>
  <si>
    <t>1. Расчеты (обоснования) выплат персоналу (строка 210)</t>
  </si>
  <si>
    <t>Код видов доходов</t>
  </si>
  <si>
    <t>Источник финансового обеспечения</t>
  </si>
  <si>
    <t>Субсидии на выполнение муниципального задания</t>
  </si>
  <si>
    <t>№ п/п</t>
  </si>
  <si>
    <t>Наименование расходов</t>
  </si>
  <si>
    <t>Код аналитического учета</t>
  </si>
  <si>
    <t>ФОТ месячный руб.</t>
  </si>
  <si>
    <t>Кол-во месяцев</t>
  </si>
  <si>
    <t>Фонд оплаты труда в руб.</t>
  </si>
  <si>
    <t>Заработная плата</t>
  </si>
  <si>
    <t>Выделено в бюджете</t>
  </si>
  <si>
    <t>Средний размер выплаты на одного работника в день, руб.</t>
  </si>
  <si>
    <t>Кол-во работников, чел.</t>
  </si>
  <si>
    <t>Количество дней</t>
  </si>
  <si>
    <t>Сумма, руб (гр.3 х гр.4 х гр.5)</t>
  </si>
  <si>
    <t>Наименование</t>
  </si>
  <si>
    <t>код аналитического учета</t>
  </si>
  <si>
    <t>Размер базы для начисления страховых взносов %.</t>
  </si>
  <si>
    <t>Сумма взноса руб.</t>
  </si>
  <si>
    <t xml:space="preserve">Страховые взносы </t>
  </si>
  <si>
    <t>Х</t>
  </si>
  <si>
    <t>Стоимость услуги, руб.</t>
  </si>
  <si>
    <t>Численность работников получающих пособие</t>
  </si>
  <si>
    <t>Количество выплат в год на одного работника</t>
  </si>
  <si>
    <t>Размер выплаты (пособия) в месяц руб.</t>
  </si>
  <si>
    <t>сумма руб (гр.3чгр.4чгр.5)</t>
  </si>
  <si>
    <t>Ежемесячные компенсационные выплаты в размере 50 рублей до 3-х лет</t>
  </si>
  <si>
    <t>Код видов расходов</t>
  </si>
  <si>
    <t>источник финансового обеспечения</t>
  </si>
  <si>
    <t>Размер одной выплаты, руб.</t>
  </si>
  <si>
    <t>Количество выплат в год</t>
  </si>
  <si>
    <t>Общая сумма выплат, руб.</t>
  </si>
  <si>
    <t>Итого:</t>
  </si>
  <si>
    <t>Объект</t>
  </si>
  <si>
    <t>Количество работ (услуг)</t>
  </si>
  <si>
    <t>Стоимость работ (услуг)</t>
  </si>
  <si>
    <t>Количенство договоров</t>
  </si>
  <si>
    <t>Количество</t>
  </si>
  <si>
    <t>Средняя стоимость руб.</t>
  </si>
  <si>
    <t xml:space="preserve">Сумма руб. </t>
  </si>
  <si>
    <t>5. Расчеты (обоснования) прочих расходов ( кроме расходов на закупку товаров, работ, услуг)</t>
  </si>
  <si>
    <t>6. Расчет (обоснование) расходов на закупку товаров, работ, услуг</t>
  </si>
  <si>
    <t>6.1 Расчет (обоснование) расходов на оплату услуг связи ( за счет районного бюджета) на 2020 год</t>
  </si>
  <si>
    <t>количество номеров</t>
  </si>
  <si>
    <t>Количество платежей в год</t>
  </si>
  <si>
    <t>Стоимость за единицу руб.</t>
  </si>
  <si>
    <t>Услуги связи</t>
  </si>
  <si>
    <t xml:space="preserve">Услуги Интернет </t>
  </si>
  <si>
    <t>итого</t>
  </si>
  <si>
    <t>Размер потребления ресурсов</t>
  </si>
  <si>
    <t>Тариф (с учетом НДС) руб</t>
  </si>
  <si>
    <t>Индексация %</t>
  </si>
  <si>
    <t>Оплата потребления электроэнергии</t>
  </si>
  <si>
    <t>Оплата водоснабжения</t>
  </si>
  <si>
    <t>Оплата водоотведения</t>
  </si>
  <si>
    <t>Ставка арендной платы</t>
  </si>
  <si>
    <t>Стоимость с учетом НДС руб.</t>
  </si>
  <si>
    <t>здание</t>
  </si>
  <si>
    <t>Приобретение продуктов питания</t>
  </si>
  <si>
    <t>Приобретение лако-красочных материалов</t>
  </si>
  <si>
    <t>Налоговая база; кадастровая стоимость земельного участка руб.</t>
  </si>
  <si>
    <t>Ставка налога %</t>
  </si>
  <si>
    <t xml:space="preserve">Сумма исчисленного налога, подлежащего уплате, руб. </t>
  </si>
  <si>
    <t>Налог на имущество</t>
  </si>
  <si>
    <t>Плата за загрязнение окружающей среды</t>
  </si>
  <si>
    <t>Штраф</t>
  </si>
  <si>
    <t>Заработная плата по договорам</t>
  </si>
  <si>
    <t>Сумма руб. (гр.2хгр.3)</t>
  </si>
  <si>
    <t>9. Расчет (обоснование) расходов на закупку товаров, работ, услуг</t>
  </si>
  <si>
    <t>Мягкий инвентарь</t>
  </si>
  <si>
    <t>Иная субсидия</t>
  </si>
  <si>
    <t>Всего:</t>
  </si>
  <si>
    <t xml:space="preserve">Руководитель муниципального </t>
  </si>
  <si>
    <t xml:space="preserve">бюджетного учреждения </t>
  </si>
  <si>
    <t xml:space="preserve">М.П.           </t>
  </si>
  <si>
    <t>12. Расчет (обоснование) расходов на закупку товаров, работ, услуг</t>
  </si>
  <si>
    <t>Иные субсидии</t>
  </si>
  <si>
    <t>3.4 Расчет (обоснование) расходов на увеличение стоимости прочих оборотных запасов ( за счет краевого бюджета) на 2020 год</t>
  </si>
  <si>
    <t>6.3 Расчет (обоснование) расходов на оплату аренды имущества на 2020 год</t>
  </si>
  <si>
    <t>6.6 Расчет (обоснование) расходов на увеличение стоимости основных средств ( за счет районного бюджета) на 2020 год</t>
  </si>
  <si>
    <t>6.8 Расчет (обоснование) расходов на увеличение стоимости строительных материалов ( за счет районного бюджета) на 2020 год</t>
  </si>
  <si>
    <t>6.9 Расчет (обоснование) расходов на увеличение стоимости прочих оборотных запасов ( за счет районного бюджета) на 2020 год</t>
  </si>
  <si>
    <t>7.2 Расчет (обоснование) расходов на оплату других экономических санкций( за счет средств районного бюджета) на 2020 год</t>
  </si>
  <si>
    <t>Курсы повышения квалификации</t>
  </si>
  <si>
    <t>Учебники</t>
  </si>
  <si>
    <t xml:space="preserve">Оплата отопления </t>
  </si>
  <si>
    <t>Оплата горячего водоснабжения</t>
  </si>
  <si>
    <t>Дезинфекция, дератизация</t>
  </si>
  <si>
    <t>Обслуживание пожарной сигнализации</t>
  </si>
  <si>
    <t>Вывоз ТБО</t>
  </si>
  <si>
    <t>Сервисное обслуживание теплосчётчика</t>
  </si>
  <si>
    <t>Услуги "Экопроект"</t>
  </si>
  <si>
    <t>Медицинский осмотр сотрудников</t>
  </si>
  <si>
    <t>9.3  Расчет (обоснование) расходов на увеличение стоимости основных средств ( за счет средств от приносящей деятельности) на 2020 год</t>
  </si>
  <si>
    <t>9.4  Расчет (обоснование) расходов на увеличение стоимости продуктов питания ( за счет средств от приносящий доход деятельности) на 2020 год</t>
  </si>
  <si>
    <t>9.5  Расчет (обоснование) расходов на увеличение стоимости мягкого инвентаря ( за счет средств от приносящий доход деятельности) на 2020 год</t>
  </si>
  <si>
    <t>Осуществление отдельных государственных полномочий по обеспечению льготным питанием учащихся из многодетных семей в муниципальных образовательных организациях</t>
  </si>
  <si>
    <t>Количество детей</t>
  </si>
  <si>
    <t>Средняя стоимость,руб.</t>
  </si>
  <si>
    <t>Количество дней питания</t>
  </si>
  <si>
    <t>Частичная компенсация удорожания стоимости питания учащихся дневных муниципальных образовательных организаций, реализующих общеобразовательные программы, из расчета 6,0 рублей в день на одного обучающегося</t>
  </si>
  <si>
    <t>Предоставление субсидии муниципальным образовательным организациям на обеспечение бесплатного двухразового питания обучающихся с ограниченными возможностями здоровья</t>
  </si>
  <si>
    <t>Организация отдыха детей в профильных лагерях в каникулярное время с дневным пребыванием с обязательной организацией их питания</t>
  </si>
  <si>
    <t>Обеспечение молоком и молочными продуктами в качестве дополнительного питания учащихся дневных муниципальных общеобразовательных организаций из расчета 1 раз в неделю на одного обчающегося</t>
  </si>
  <si>
    <t>3.4 Расчет (обоснование) расходов на увеличение стоимости прочих оборотных запасов ( за счет краевого бюджета) на 2021 год</t>
  </si>
  <si>
    <t>6.6 Расчет (обоснование) расходов на увеличение стоимости основных средств ( за счет районного бюджета) на 2021 год</t>
  </si>
  <si>
    <t>6.8 Расчет (обоснование) расходов на увеличение стоимости строительных материалов ( за счет районного бюджета) на 2021 год</t>
  </si>
  <si>
    <t>6.9 Расчет (обоснование) расходов на увеличение стоимости прочих оборотных запасов ( за счет районного бюджета) на 2021 год</t>
  </si>
  <si>
    <t>1.2 Расчеты (обоснования) выплат персоналу при направлении в служебные командировки ( за счет краевого бюджета) на 2022 год</t>
  </si>
  <si>
    <t>3.4 Расчет (обоснование) расходов на увеличение стоимости прочих оборотных запасов ( за счет краевого бюджета) на 2022 год</t>
  </si>
  <si>
    <t>2. Расчеты (обоснования) прочих расходов на закупку товаров, работ, услуг</t>
  </si>
  <si>
    <t>3. Расчеты (обоснования) выплат персоналу (строка 210)</t>
  </si>
  <si>
    <t>13. Расчеты (обоснования) выплат персоналу (строка 210)</t>
  </si>
  <si>
    <t>13.1 Расчеты (обоснования) выплат на оплату труда ( за счет краевого бюджета) на 2021 год</t>
  </si>
  <si>
    <t>13.2 Расчеты (обоснования) страховых взносов (за счет краевого бюджета) на 2021 год</t>
  </si>
  <si>
    <t xml:space="preserve"> </t>
  </si>
  <si>
    <t>Добровольные пожертвования</t>
  </si>
  <si>
    <t>8.1 Расчет (обоснование) расходов на оплату прочих работ, услуг ( за счет средств от приносящей доход деятельности) на 2020 год</t>
  </si>
  <si>
    <t>Питание (остаток 2019 года)</t>
  </si>
  <si>
    <t>Остаток средств на начало текущего финансового года</t>
  </si>
  <si>
    <t>Остаток средств на конец текущего финансового года</t>
  </si>
  <si>
    <t>1410</t>
  </si>
  <si>
    <t>добровольные пожертвования</t>
  </si>
  <si>
    <t>1230</t>
  </si>
  <si>
    <t>Медосмотр сотрудников</t>
  </si>
  <si>
    <t>Средства от приносящей доход деятельности</t>
  </si>
  <si>
    <t>Безвозмездные денежные поступления</t>
  </si>
  <si>
    <t>Осуществление отдельных государственных полномочий по материально-техническому обеспеспечению пунктов проведения государственной итоговой аттестации</t>
  </si>
  <si>
    <t>О.И.Акасевич</t>
  </si>
  <si>
    <t xml:space="preserve">Расчет (обоснования) к плану финансово-хозяйственной деятельности Муниципального бюджетного общеобразовательного учреждения средняя общеобразовательная школа №1 имени А.И.Герцена муниципального образования Тимашевский район               </t>
  </si>
  <si>
    <t>Охранные услуги ФГКУ "УВО ВНГ "России по Краснодарскому краю</t>
  </si>
  <si>
    <t>Компьютерная и оргтехника</t>
  </si>
  <si>
    <t>Канцелярские товары</t>
  </si>
  <si>
    <t>Хозяйственные товары</t>
  </si>
  <si>
    <t>Средняя стоимость</t>
  </si>
  <si>
    <t xml:space="preserve">Количество </t>
  </si>
  <si>
    <t>8. Расчет (обоснование) расходов на закупку товаров, работ, услуг</t>
  </si>
  <si>
    <t>Доходы всего:</t>
  </si>
  <si>
    <t>1000</t>
  </si>
  <si>
    <t>Доходы от собственности:</t>
  </si>
  <si>
    <t>120</t>
  </si>
  <si>
    <t>1100</t>
  </si>
  <si>
    <t>1110</t>
  </si>
  <si>
    <t>Директор</t>
  </si>
  <si>
    <t>Муниципального общеобразовательного учреждения средней общеобразовательной школы №1 имени А.И.Герцена муниципального образования Тимашевский район</t>
  </si>
  <si>
    <t xml:space="preserve">                                         школа №1 имени А.И.Герцена муниципального образования Тимашевский район</t>
  </si>
  <si>
    <t xml:space="preserve">                             Муниципальное бюджетное общеобразовательное учреждение средняя общеобразовательная</t>
  </si>
  <si>
    <t>Техническое обслуживание технических средств охраны (Филиал федерального государственного унитарного предприятия "Охрана" Федеральной службы войск национальной гвардии РФ по Краснодарскому краю)</t>
  </si>
  <si>
    <t>Услуги по перезарядке огнетушителей</t>
  </si>
  <si>
    <t>Средний размер выплаты на одного работника</t>
  </si>
  <si>
    <t>Количество суток</t>
  </si>
  <si>
    <t>Суточные при служебных командировках</t>
  </si>
  <si>
    <t>Количество командировок</t>
  </si>
  <si>
    <t>Средняя стоимость проезда и проживания</t>
  </si>
  <si>
    <t>Наем жилых помещений и оплата проезда по служебным командировкам</t>
  </si>
  <si>
    <t>Итого край</t>
  </si>
  <si>
    <t>Итого по ст.211</t>
  </si>
  <si>
    <t>Итого по ст.213</t>
  </si>
  <si>
    <t>Итого по ст.212</t>
  </si>
  <si>
    <t>Итого по ст.226</t>
  </si>
  <si>
    <t>Итого по ст.221</t>
  </si>
  <si>
    <t>Итого по ст.310</t>
  </si>
  <si>
    <t>Итого по ст.223</t>
  </si>
  <si>
    <t>Итого по ст.225</t>
  </si>
  <si>
    <t>Итого КВР 851</t>
  </si>
  <si>
    <t>Итого КВР 853</t>
  </si>
  <si>
    <t>Итого район</t>
  </si>
  <si>
    <t>Итого спесч.</t>
  </si>
  <si>
    <t>Итого по 310.</t>
  </si>
  <si>
    <t>Итого по ст.346</t>
  </si>
  <si>
    <t>Итого субсидии</t>
  </si>
  <si>
    <t>Итого по ст.342</t>
  </si>
  <si>
    <t>Субсидия на обеспечение отдыха детей в каникулярное время в профильных лагерях, организованных муниципальными образовательными организациями.</t>
  </si>
  <si>
    <t>212,226,266</t>
  </si>
  <si>
    <t>Осуществление отдельных государственных полномочий по материально-техническому обеспеспечению пунктов проведения государственной итоговой аттестации (Видеотрансляция)</t>
  </si>
  <si>
    <t>Контур-экстерн</t>
  </si>
  <si>
    <t>от сдачи металлолома,маккулатуры</t>
  </si>
  <si>
    <t>Поступления от сдачи металлолома и макулатуры</t>
  </si>
  <si>
    <t xml:space="preserve"> Гранты в форме субсидий бюджетным учреждениям</t>
  </si>
  <si>
    <t>Гранты</t>
  </si>
  <si>
    <t>1420</t>
  </si>
  <si>
    <t>11. Расчет (обоснование) расходов на закупку товаров, работ, услуг</t>
  </si>
  <si>
    <t>Итого по ст.349</t>
  </si>
  <si>
    <t>Бланки строгой отчетности (аттестаты)</t>
  </si>
  <si>
    <t>Общая 226</t>
  </si>
  <si>
    <t>Общая 310</t>
  </si>
  <si>
    <t>Итого по ст.344</t>
  </si>
  <si>
    <t>Приобретение лакокрасочных,строительных и расходных материалов</t>
  </si>
  <si>
    <t>7. Расчеты (обоснования) прочих расходов на закупку товаров, работ, услуг</t>
  </si>
  <si>
    <t>10. Расчеты (обоснования) выплат персоналу (строка 210)</t>
  </si>
  <si>
    <t>16.3   Расчеты (обоснования)  на оплату прочих работ, услуг  ( за счет районного бюджета) на 2020 год</t>
  </si>
  <si>
    <t>Учебно-педагогическая документация</t>
  </si>
  <si>
    <t>Испытания и измерения электроустановок и электрооборудования</t>
  </si>
  <si>
    <t>оборудование</t>
  </si>
  <si>
    <t>Предоставление субсидии муниципальным образовательным организациям на организацию бесплатного горячего питания обучающихся, получающих начальное общее образование.</t>
  </si>
  <si>
    <t>-</t>
  </si>
  <si>
    <t>Фонд оплаты труда, руб.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</si>
  <si>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</si>
  <si>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Размер базы для начисления страховых взносов, %.</t>
  </si>
  <si>
    <t>Сумма, руб.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</si>
  <si>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(страховые взносы)</t>
  </si>
  <si>
    <t>17. Расчет (обоснование) расходов на закупку товаров, работ, услуг</t>
  </si>
  <si>
    <t>Количество,шт.метр</t>
  </si>
  <si>
    <t>иные выплаты населению</t>
  </si>
  <si>
    <t>2240</t>
  </si>
  <si>
    <t>360</t>
  </si>
  <si>
    <t>613</t>
  </si>
  <si>
    <t>гранты, предоставляемые иным некомерческим организациям (за исключением бюджетных и автономных учреждений)</t>
  </si>
  <si>
    <t>2430</t>
  </si>
  <si>
    <t>634</t>
  </si>
  <si>
    <t>гранты, предоставляемые автономным учреждениям</t>
  </si>
  <si>
    <t>2420</t>
  </si>
  <si>
    <t>623</t>
  </si>
  <si>
    <t>1910</t>
  </si>
  <si>
    <t>1920</t>
  </si>
  <si>
    <t>1530</t>
  </si>
  <si>
    <t xml:space="preserve">Предоставление субсидии муниципальным образовательным организациям на ежемесячную денежную выплату на питание обучающимся с ограниченными возможностями здоровья, для которых организовано обучение на дому. </t>
  </si>
  <si>
    <t>Количество договоров</t>
  </si>
  <si>
    <t>Предоставление субсидии муниципальным образовательным организациям на услугу по организации бесплатного горячего питания обучающихся, получающих начальное общее образование.</t>
  </si>
  <si>
    <t>Поставка периодических изданий</t>
  </si>
  <si>
    <t>Итого по ст.</t>
  </si>
  <si>
    <t>Итого по ст.262</t>
  </si>
  <si>
    <t>Итого по гранту</t>
  </si>
  <si>
    <t>Стрелец-Мониторинг</t>
  </si>
  <si>
    <t>1.1 Расчеты (обоснования) выплат на оплату труда ( за счет краевого бюджета) на 2021 год</t>
  </si>
  <si>
    <t>2.1 Расчет (обоснование) расходов на оплату услуг связи ( за счет краевого бюджета) на 2021 год</t>
  </si>
  <si>
    <t>2.2 Расчет (обоснование) расходов на оплату прочих работ, услуг ( за счет краевого бюджета) на 2021 год</t>
  </si>
  <si>
    <t>2.3 Расчет (обоснование) расходов на увеличение стоимости основных средств ( за счет краевого бюджета) на 2021 год</t>
  </si>
  <si>
    <t>2.4  Расчет (обоснование) расходов на увеличение стоимости прочих оборотных запасов ( за счет краевого бюджета) на 2021 год</t>
  </si>
  <si>
    <t>2.5   Расчет (обоснование) расходов на увеличение стоимости материальных запасов однократного применения ( за счет краевого бюджета) на 2021 год</t>
  </si>
  <si>
    <t>3.1 Расчеты (обоснования) выплат на оплату труда ( за счет районого бюджета) на 2021 год</t>
  </si>
  <si>
    <t>4.1  Расчет (обоснование) расходов на оплату коммунальных услуг ( за счет районного бюджета) на 2021 год</t>
  </si>
  <si>
    <t>Услуги по физической охране (остаток 2020 года)</t>
  </si>
  <si>
    <t xml:space="preserve">Услуги по физической охране </t>
  </si>
  <si>
    <t xml:space="preserve">Налог на землю </t>
  </si>
  <si>
    <t>8.1 Расчет (обоснование) расходов на увеличение стоимости основных средств  на 2021 год</t>
  </si>
  <si>
    <t>Целевая модель цифровой образовательной среды в образовательных организациях в рамках регионального проекта "Цифровая образовательная среда"(остаток 2020 года)</t>
  </si>
  <si>
    <t>9.1 Расчет (обоснование) расходов на оплату услуг связи ( за счет платных услуг) на 2021 год</t>
  </si>
  <si>
    <t>9.2  Расчет (обоснование) расходов на оплату работ, услуг по содержанию имущества ( за счет платных услуг) на 2021 год</t>
  </si>
  <si>
    <t>9.3  Расчет (обоснование) расходов на оплату прочих работ, услуг ( за счет платных услуг) на 2021 год</t>
  </si>
  <si>
    <t>9.4  Расчет (обоснование) расходов на увеличение стоимости основных средств ( за счет платных услуг) на 2021 год</t>
  </si>
  <si>
    <t>9.5  Расчет (обоснование) расходов на увеличение стоимости прочих оборотных запасов ( за счет платных услуг) на 2021 год</t>
  </si>
  <si>
    <t>10.1  Расчет (обоснование) выплат на оплату труда ( за счет средств от приносящей доход деятельности) на 2021 год</t>
  </si>
  <si>
    <t>10.2  Расчеты (обоснования) страховых взносов ( за счет средств от приносяшей доход деятельности) на 2021 год</t>
  </si>
  <si>
    <t>12.1  Расчет (обоснование) расходов на увеличение стоимости прочих оборотных запасов ( за счет средств от приносящий доход деятельности) на 2021 год</t>
  </si>
  <si>
    <t>закупка энергетических ресурсов</t>
  </si>
  <si>
    <t>2641</t>
  </si>
  <si>
    <t>247</t>
  </si>
  <si>
    <t>5. Расчеты (обоснования) прочих расходов на закупку товаров, работ, услуг</t>
  </si>
  <si>
    <t>6. Расчет (обоснование) расходов на уплату налогов сборов и иных платежей</t>
  </si>
  <si>
    <t>6.1 Расчет (обоснование) расходов на оплату налога на имущество организаций и земельного налога( за счет средств районного бюджета) на 2021 год</t>
  </si>
  <si>
    <t>6.2 Расчет (обоснование) расходов на оплату иных платежей ( за счет средств районного бюджета) на 2021 год</t>
  </si>
  <si>
    <t>7.1   Расчет (обоснование) расходов на увеличение стоимости строительных материалов ( за счет районного бюджета) на 2021 год</t>
  </si>
  <si>
    <t>7.2  Расчет (обоснование) расходов на увеличение стоимости прочих оборотных запасов ( за счет районного бюджета) на 2021 год</t>
  </si>
  <si>
    <t>Предоставление субсидии муниципальным образовательным организациям на организацию бесплатного горячего питания обучающихся, получающих начальное общее образование.(остаток 2020 года)</t>
  </si>
  <si>
    <t>Иная субсидия в рамках муниципальной программы муниципального образования Тимашевский район "Обеспечение безопасности населения и территорий Тимашевского района" на 2019-2022 годы.</t>
  </si>
  <si>
    <t>Предоставление субсидии муниципальным образовательным организациям на организацию бесплатного горячего питания обучающихся, получающих начальное общее образование. (остаток 2020 года).</t>
  </si>
  <si>
    <t>Иная субсидия на обеспечение мероприятий муниципальной программы муниципального образования Тимашевский район "Архитектура, строительство и дорожное хозяйство на 2019-2023 годы" муниципальной подпрограммы "Повышение безопасности дорожного движения на территории муниципального образования Тимашевский район на 2019-2023 годы"</t>
  </si>
  <si>
    <t>"Трудоустройство несовершеннолетних в возрасте от 14 до 18 лет, в том числе в каникулярное время."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</si>
  <si>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(остаток 2020 года)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</si>
  <si>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(страховые взносы) (остаток 2020 года)</t>
  </si>
  <si>
    <t>Хозяйственные товары (остаток 2020 года)</t>
  </si>
  <si>
    <t>Заработная плата несовершеннолетних (остаток 2020 года)</t>
  </si>
  <si>
    <t>Страховые взносы (остаток 2020 года)</t>
  </si>
  <si>
    <t xml:space="preserve">Хозяйственные товары </t>
  </si>
  <si>
    <t>Дезинфицирующие средства .</t>
  </si>
  <si>
    <t>5.1  Расчет (обоснование) расходов на оплату коммунальных услуг ( за счет районного бюджета) на 2021 год</t>
  </si>
  <si>
    <t>5.2  Расчет (обоснование) расходов на оплату работ, услуг по содержанию имущества ( за счет районного бюджета) на 2021 год</t>
  </si>
  <si>
    <t>5.3  Расчет (обоснование) расходов на оплату прочих работ, услуг ( за счет районного бюджета) на 2021 год</t>
  </si>
  <si>
    <t>11.1  Расчет (обоснование) расходов на увеличение стоимости прочих оборотных запасов ( за счет средств от приносящий доход деятельности) на 2021 год</t>
  </si>
  <si>
    <t xml:space="preserve">14. Расчеты (обоснования) расходов на закупку товаров, работ, услуг </t>
  </si>
  <si>
    <t>14.2  Расчеты (обоснования)  на оплату прочих работ, услуг  ( за счет краевого бюджета) на 2021 год</t>
  </si>
  <si>
    <t>14.3  Расчеты (обоснования)  на оплату прочих работ, услуг  ( за счет краевого бюджета) на 2021 год</t>
  </si>
  <si>
    <t>14.4  Расчеты (обоснования)  на оплату прочих работ, услуг  ( за счет краевого бюджета) на 2021 год</t>
  </si>
  <si>
    <t>15. Расчеты (обоснования) выплат персоналу (строка 210)</t>
  </si>
  <si>
    <t>15.1 Расчеты (обоснования) выплат на оплату труда ( за счет районного бюджета) на 2021 год</t>
  </si>
  <si>
    <t>23.1 Расчет (обоснование) расходов на оплату коммунальных услуг ( за счет районного бюджета) на 2022 год</t>
  </si>
  <si>
    <t>34.1  Расчет (обоснование) расходов на оплату коммунальных услуг ( за счет районного бюджета) на 2023 год</t>
  </si>
  <si>
    <t>Капитальный ремонт зданий и сооруженийобразовательных организаций (изготовление проектно-сметной документации по капитальному ремонту пищеблока)</t>
  </si>
  <si>
    <t xml:space="preserve">16.  Расчет (обоснование) расходов на оплату работ, услуг в целях капитального ремонта </t>
  </si>
  <si>
    <t>16.1  Расчет (обоснование) расходов на оплату работ, услуг в целях капитального ремонта ( за счет районного бюджета) на 2021 год</t>
  </si>
  <si>
    <t>17.1  Расчет (обоснование) расходов на оплату работ, услуг в целях капитального ремонта ( за счет  районного бюджета) на 2021 год</t>
  </si>
  <si>
    <t>18. Расчет (обоснование) расходов на закупку товаров, работ, услуг</t>
  </si>
  <si>
    <t>18.1  Расчеты (обоснования)  на оплату прочих работ, услуг  ( за счет районного бюджета) на 2021 год</t>
  </si>
  <si>
    <t>18.2  Расчеты (обоснования)  на оплату прочих работ, услуг  ( за счет районного бюджета) на 2021 год</t>
  </si>
  <si>
    <t>18.3  Расчеты (обоснования)  на оплату прочих работ, услуг  ( за счет районного бюджета) на 2021 год</t>
  </si>
  <si>
    <t>19. Расчет (обоснование) расходов на пособия, компенсации и иные выплаты гражданам, кроме публичных нормативных обязательств</t>
  </si>
  <si>
    <t>19.1  Расчет (обоснование) расходов на пособия по социальной помощи населению ( за счет средств районного бюджета) на 2021 год</t>
  </si>
  <si>
    <t>20. Расчеты (обоснования) выплат персоналу (строка 210)</t>
  </si>
  <si>
    <t>20.1 Расчеты (обоснования) выплат на оплату труда ( за счет краевого бюджета) на 2022 год</t>
  </si>
  <si>
    <t>20.2 Расчеты (обоснования) страховых взносов (за счет краевого бюджета) на 2022 год</t>
  </si>
  <si>
    <t>20.3  Расчет (обоснование) расходов на оплату прочих несоциальных выплат персоналу в денежной форме ( за счет край бюджета) на 2022 год</t>
  </si>
  <si>
    <t>20.4  Расчет (обоснование) расходов на оплату социальных пособий и компенсаций персоналу в денежной форме ( за счет край бюджета) на 2022 год</t>
  </si>
  <si>
    <t>20.5  Расчет (обоснование) расходов на оплату социальных пособий и компенсаций персоналу по уходу за ребенком ( за счет край бюджета) на 2022 год</t>
  </si>
  <si>
    <t>21. Расчеты (обоснования) прочих расходов на закупку товаров, работ, услуг</t>
  </si>
  <si>
    <t>21.1 Расчет (обоснование) расходов на оплату услуг связи ( за счет краевого бюджета) на 2022 год</t>
  </si>
  <si>
    <t>21.2 Расчет (обоснование) расходов на оплату прочих работ, услуг ( за счет краевого бюджета) на 2022 год</t>
  </si>
  <si>
    <t>21.3 Расчет (обоснование) расходов на увеличение стоимости основных средств ( за счет краевого бюджета) на 2022 год</t>
  </si>
  <si>
    <t>21.4  Расчет (обоснование) расходов на увеличение стоимости прочих оборотных запасов ( за счет краевого бюджета) на 2022 год</t>
  </si>
  <si>
    <t>21.5   Расчет (обоснование) расходов на увеличение стоимости материальных запасов однократного применения ( за счет краевого бюджета) на 2022 год</t>
  </si>
  <si>
    <t>22. Расчеты (обоснования) выплат персоналу (строка 210)</t>
  </si>
  <si>
    <t>22.1 Расчеты (обоснования) выплат на оплату труда ( за счет районого бюджета) на 2022 год</t>
  </si>
  <si>
    <t>22.2  Расчеты (обоснования) страховых взносов ( за счет районого бюджета) на 2022 год</t>
  </si>
  <si>
    <t>23. Расчет (обоснование) расходов на закупку энергетических ресурсов</t>
  </si>
  <si>
    <t>24. Расчет (обоснование) расходов на закупку товаров, работ, услуг</t>
  </si>
  <si>
    <t>24.1 Расчет (обоснование) расходов на оплату коммунальных услуг ( за счет районного бюджета) на 2022 год</t>
  </si>
  <si>
    <t>24.2  Расчет (обоснование) расходов на оплату работ, услуг по содержанию имущества ( за счет районного бюджета) на 2022 год</t>
  </si>
  <si>
    <t>24.3  Расчет (обоснование) расходов на оплату прочих работ, услуг ( за счет районного бюджета) на 2022 год</t>
  </si>
  <si>
    <t>25. Расчет (обоснование) расходов на уплату налогов сборов и иных платежей</t>
  </si>
  <si>
    <t>25.1 Расчет (обоснование) расходов на оплату налога на имущество организаций и земельного налога( за счет средств районного бюджета) на 2022 год</t>
  </si>
  <si>
    <t>25.2 Расчет (обоснование) расходов на оплату иных платежей ( за счет средств районного бюджета) на 2022 год</t>
  </si>
  <si>
    <t>26. Расчеты (обоснования) прочих расходов на закупку товаров, работ, услуг</t>
  </si>
  <si>
    <t>26.1   Расчет (обоснование) расходов на увеличение стоимости строительных материалов ( за счет районного бюджета) на 2022 год</t>
  </si>
  <si>
    <t>26.2  Расчет (обоснование) расходов на увеличение стоимости прочих оборотных запасов ( за счет районного бюджета) на 2022 год</t>
  </si>
  <si>
    <t>27. Расчет (обоснование) расходов на закупку товаров, работ, услуг</t>
  </si>
  <si>
    <t>27.1 Расчет (обоснование) расходов на оплату прочих работ, услуг ( за счет платных услуг) на 2022 год</t>
  </si>
  <si>
    <t>27.2 Расчет (обоснование) расходов на увеличение стоимости основных средств ( за счет платных услуг) на 2022 год</t>
  </si>
  <si>
    <t>27.3 Расчет (обоснование) расходов на увеличение стоимости прочих оборотных запасов ( за счет платных услуг) на 2022 год</t>
  </si>
  <si>
    <t>28. Расчеты (обоснования) выплат персоналу (строка 210)</t>
  </si>
  <si>
    <t>28.1 Расчеты (обоснования) выплат на оплату труда ( за счет краевого бюджета) на 2022 год</t>
  </si>
  <si>
    <t>28.2 Расчеты (обоснования) страховых взносов (за счет краевого бюджета) на 2022 год</t>
  </si>
  <si>
    <t xml:space="preserve">29. Расчеты (обоснования) расходов на закупку товаров, работ, услуг </t>
  </si>
  <si>
    <t>29.1  Расчеты (обоснования)  на оплату прочих работ, услуг  ( за счет краевого бюджета) на 2022 год</t>
  </si>
  <si>
    <t>29.2  Расчеты (обоснования)  на оплату прочих работ, услуг  ( за счет краевого бюджета) на 2022 год</t>
  </si>
  <si>
    <t>29.3  Расчеты (обоснования)  на оплату прочих работ, услуг  ( за счет краевого бюджета) на 2022 год</t>
  </si>
  <si>
    <t>29.4  Расчеты (обоснования)  на оплату прочих работ, услуг  ( за счет краевого бюджета) на 2022 год</t>
  </si>
  <si>
    <t>30. Расчет (обоснование) расходов на закупку товаров, работ, услуг</t>
  </si>
  <si>
    <t>30.1  Расчеты (обоснования)  на оплату прочих работ, услуг  ( за счет районного бюджета) на 2022 год</t>
  </si>
  <si>
    <t>31. Расчеты (обоснования) выплат персоналу (строка 210)</t>
  </si>
  <si>
    <t>31.1 Расчеты (обоснования) выплат на оплату труда ( за счет краевого бюджета) на 2023 год</t>
  </si>
  <si>
    <t>31.2  Расчеты (обоснования) страховых взносов (за счет краевого бюджета) на 2023 год</t>
  </si>
  <si>
    <t>31.3  Расчет (обоснование) расходов на оплату прочих несоциальных выплат персоналу в денежной форме ( за счет край бюджета) на 2023 год</t>
  </si>
  <si>
    <t>31.4  Расчет (обоснование) расходов на оплату социальных пособий и компенсаций персоналу в денежной форме ( за счет край бюджета) на 2023 год</t>
  </si>
  <si>
    <t>31.5  Расчет (обоснование) расходов на оплату социальных пособий и компенсаций персоналу по уходу за ребенком ( за счет край бюджета) на 2023 год</t>
  </si>
  <si>
    <t>32. Расчеты (обоснования) прочих расходов на закупку товаров, работ, услуг</t>
  </si>
  <si>
    <t>32.1 Расчет (обоснование) расходов на оплату услуг связи ( за счет краевого бюджета) на 2023 год</t>
  </si>
  <si>
    <t>32.2 Расчет (обоснование) расходов на оплату прочих работ, услуг ( за счет краевого бюджета) на 2023 год</t>
  </si>
  <si>
    <t>32.3  Расчет (обоснование) расходов на увеличение стоимости основных средств ( за счет краевого бюджета) на 2023 год</t>
  </si>
  <si>
    <t>32.4  Расчет (обоснование) расходов на увеличение стоимости прочих оборотных запасов ( за счет краевого бюджета) на 2023 год</t>
  </si>
  <si>
    <t>32.5   Расчет (обоснование) расходов на увеличение стоимости материальных запасов однократного применения ( за счет краевого бюджета) на 2023 год</t>
  </si>
  <si>
    <t>33. Расчеты (обоснования) выплат персоналу (строка 210)</t>
  </si>
  <si>
    <t>33.1 Расчеты (обоснования) выплат на оплату труда ( за счет районого бюджета) на 2023 год</t>
  </si>
  <si>
    <t>33.2  Расчеты (обоснования) страховых взносов ( за счет районого бюджета) на 2023 год</t>
  </si>
  <si>
    <t>34.  Расчет (обоснование) расходов на закупку энергетических ресурсов</t>
  </si>
  <si>
    <t>35.  Расчет (обоснование) расходов на закупку товаров, работ, услуг</t>
  </si>
  <si>
    <t>35.1  Расчет (обоснование) расходов на оплату коммунальных услуг ( за счет районного бюджета) на 2023 год</t>
  </si>
  <si>
    <t>35.2 Расчет (обоснование) расходов на оплату работ, услуг по содержанию имущества ( за счет районного бюджета) на 2023 год</t>
  </si>
  <si>
    <t>35.3  Расчет (обоснование) расходов на оплату прочих работ, услуг ( за счет районного бюджета) на 2023 год</t>
  </si>
  <si>
    <t>36.  Расчет (обоснование) расходов на уплату налогов сборов и иных платежей</t>
  </si>
  <si>
    <t>36.1 Расчет (обоснование) расходов на оплату налога на имущество организаций и земельного налога( за счет средств районного бюджета) на 2023 год</t>
  </si>
  <si>
    <t>36.2 Расчет (обоснование) расходов на оплату иных платежей ( за счет средств районного бюджета) на 2023 год</t>
  </si>
  <si>
    <t>37. Расчеты (обоснования) прочих расходов на закупку товаров, работ, услуг</t>
  </si>
  <si>
    <t>37.1   Расчет (обоснование) расходов на увеличение стоимости строительных материалов ( за счет районного бюджета) на 2023 год</t>
  </si>
  <si>
    <t>37.2  Расчет (обоснование) расходов на увеличение стоимости прочих оборотных запасов ( за счет районного бюджета) на 2023 год</t>
  </si>
  <si>
    <t>38. Расчет (обоснование) расходов на закупку товаров, работ, услуг</t>
  </si>
  <si>
    <t>38.1 Расчет (обоснование) расходов на оплату прочих работ, услуг ( за счет платных услуг) на 2023 год</t>
  </si>
  <si>
    <t>38.2 Расчет (обоснование) расходов на увеличение стоимости основных средств ( за счет платных услуг) на 2023 год</t>
  </si>
  <si>
    <t>38.3 Расчет (обоснование) расходов на увеличение стоимости прочих оборотных запасов ( за счет платных услуг) на 2023 год</t>
  </si>
  <si>
    <t>39. Расчеты (обоснования) выплат персоналу (строка 210)</t>
  </si>
  <si>
    <t>39.1 Расчеты (обоснования) выплат на оплату труда ( за счет краевого бюджета) на 2023 год</t>
  </si>
  <si>
    <t>39.2 Расчеты (обоснования) страховых взносов (за счет краевого бюджета) на 2023 год</t>
  </si>
  <si>
    <t xml:space="preserve">40. Расчеты (обоснования) расходов на закупку товаров, работ, услуг </t>
  </si>
  <si>
    <t>40.1   Расчеты (обоснования)  на оплату прочих работ, услуг  ( за счет краевого бюджета) на 2023 год</t>
  </si>
  <si>
    <t>40.2   Расчеты (обоснования)  на оплату прочих работ, услуг  ( за счет краевого бюджета) на 2023 год</t>
  </si>
  <si>
    <t>40.3   Расчеты (обоснования)  на оплату прочих работ, услуг  ( за счет краевого бюджета) на 2023 год</t>
  </si>
  <si>
    <t>40.4  Расчеты (обоснования)  на оплату прочих работ, услуг  ( за счет краевого бюджета) на 2023 год</t>
  </si>
  <si>
    <t>41. Расчет (обоснование) расходов на закупку товаров, работ, услуг</t>
  </si>
  <si>
    <t>41.1   Расчеты (обоснования)  на оплату прочих работ, услуг  ( за счет районного бюджета) на 2023 год</t>
  </si>
  <si>
    <t>41.2  Расчеты (обоснования)  на оплату прочих работ, услуг  ( за счет районного бюджета) на 2023 год</t>
  </si>
  <si>
    <t>41.3  Расчеты (обоснования)  на оплату прочих работ, услуг  ( за счет районного бюджета) на 2023 год</t>
  </si>
  <si>
    <t>41.4   Расчет (обоснование) расходов на увеличение стоимости продуктов питания ( за счет средств от приносящий доход деятельности) на 2023 год</t>
  </si>
  <si>
    <t>42. Расчет (обоснование) расходов на пособия, компенсации и иные выплаты гражданам, кроме публичных нормативных обязательств</t>
  </si>
  <si>
    <t>42.1  Расчет (обоснование) расходов на пособия по социальной помощи населению ( за счет средств районного бюджета) на 2023 год</t>
  </si>
  <si>
    <t>Текущий ремонт пола библиотеки.</t>
  </si>
  <si>
    <t>Технологическое присоединение энергопринимающих устройств</t>
  </si>
  <si>
    <t>Обеспечение молоком и молочными продуктами в качестве дополнительного питания учащихся дневных муниципальных общеобразовательных организаций из расчета 1 раз в неделю на одного обучающегося</t>
  </si>
  <si>
    <t>Лицензия на право использования программного продукта СКЗИ "Бюджет плюс"</t>
  </si>
  <si>
    <t>Доводчики дверные, обналичка металлическая</t>
  </si>
  <si>
    <t>18.5  Расчет (обоснование) расходов на увеличение стоимости основных средств ( за счет  районного  бюджета) на 2021 год</t>
  </si>
  <si>
    <t>18.4  Расчеты (обоснования)  на оплату прочих работ, услуг  ( за счет районного бюджета) на 2021 год</t>
  </si>
  <si>
    <t>Субсидия на обеспечение отдыха учащихся образовательных организаций в каникулярное время в краевых и районных лагерях, многодневных походах, экспедициях, экскурсиях, посещение спектаклей и прочее.</t>
  </si>
  <si>
    <t>Канцелярские товары и бумага</t>
  </si>
  <si>
    <t>Текущий ремонт музея.</t>
  </si>
  <si>
    <t xml:space="preserve">Сумма, руб. </t>
  </si>
  <si>
    <t>14.1  Расчет (обоснование) расходов на оплату работ, услуг по содержанию имущества  (за счет краевого бюджета) на 2021 год</t>
  </si>
  <si>
    <t>14.5  Расчеты (обоснования)  на оплату прочих работ, услуг  ( за счет краевого бюджета) на 2021 год</t>
  </si>
  <si>
    <t>Субсидия на дополнительную помощь местным бюджетам для решения социально значимых вопросов  местного значения (Капитальный и текущий ремонт, благоустройство территории, материально-техническое обеспечение образовательных организаций) (ремонт библиотеки)</t>
  </si>
  <si>
    <t xml:space="preserve">18.6  Расчет (обоснование) расходов на увеличение стоимости основных средств ( за счет районного бюджета) </t>
  </si>
  <si>
    <t>18.7   Расчет (обоснование) расходов на увеличение стоимости продуктов питания ( за счет средств районного бюджета) на 2021 год</t>
  </si>
  <si>
    <t>Приобретение движимого имущества для оснащения муниципальных общеобразовательных организаций (приобретение оборудования для музея)</t>
  </si>
  <si>
    <t>9.6  Расчет (обоснование) расходов на оплату работ, услуг по содержанию имущества ( за счет арендной платы) на 2021 год</t>
  </si>
  <si>
    <t>Ручные пожарные извещатели</t>
  </si>
  <si>
    <t>Право на использование программного обеспечения</t>
  </si>
  <si>
    <t xml:space="preserve">Заработная плата несовершеннолетних </t>
  </si>
  <si>
    <t>Обследование технического состояния зданий и сооружений</t>
  </si>
  <si>
    <t>Монтаж тревожной сигнализации</t>
  </si>
  <si>
    <t>Изготовление фотолюминисцентных планов эвакуации</t>
  </si>
  <si>
    <t>Заработная плата за участие в организации и проведении государственной (итоговой) аттестации</t>
  </si>
  <si>
    <t>13.4 Расчеты (обоснования) выплат, за исключением фонда оплаты труда для выполнения отдельных полномочий ( за счет краевого бюджета) на 2021 год</t>
  </si>
  <si>
    <t>Подготовка к отопительному сезону (гидроопрессовка)</t>
  </si>
  <si>
    <t>Мобильный пешеходный автогородок</t>
  </si>
  <si>
    <t>Самокат складной GRAFFITI</t>
  </si>
  <si>
    <t>ДПС ГИБДД детская форма</t>
  </si>
  <si>
    <t>Полицейская детская форма</t>
  </si>
  <si>
    <t>Конусы спортивные/RealSport</t>
  </si>
  <si>
    <t>Санитарно-гигиеническая оценка лабораторного исследования воды, почвы.</t>
  </si>
  <si>
    <t>Оценка рыночной стоимости годовой арендной платы</t>
  </si>
  <si>
    <t>Проведение лабораторно-электрических испытаний электрооборудования</t>
  </si>
  <si>
    <t>9.7  Расчет (обоснование) расходов на оплату работ, услуг по содержанию имущества ( за счет арендной платы) на 2021 год</t>
  </si>
  <si>
    <t>9.8  Расчет (обоснование) расходов на увеличение стоимости основных средств ( за счет арендной платы) на 2021 год</t>
  </si>
  <si>
    <t>Ремонт кровли</t>
  </si>
  <si>
    <t>Проведение обработки деревянных чердачных конструкций и проведение испытаний ограждений крыши</t>
  </si>
  <si>
    <t>Касса на 28.09.2021г</t>
  </si>
  <si>
    <t>Единовременная денежная выплата отдельным категориям работников муниципальных общеобразовательных организаций.</t>
  </si>
  <si>
    <t xml:space="preserve">15.2 Расчеты (обоснования)  иных выплат персоналу за исключением фонда оплаты труда  (за счет районного бюджета) </t>
  </si>
  <si>
    <t>15.3 Расчеты (обоснования) страховых взносов (за счет районного бюджета) на 2021 год</t>
  </si>
  <si>
    <t>ЦЗ</t>
  </si>
  <si>
    <t>платные</t>
  </si>
  <si>
    <t>аренда</t>
  </si>
  <si>
    <t>нужды</t>
  </si>
  <si>
    <t>Морозильная камера ( аренда Райпо)</t>
  </si>
  <si>
    <t>Текущий ремонт пищеблока (аренда Райпо)</t>
  </si>
  <si>
    <t>Проведение лабораторно-электрических испытаний электрооборудования (аренда Райпо)</t>
  </si>
  <si>
    <t>аренда Райпо</t>
  </si>
  <si>
    <t>аренда Знание</t>
  </si>
  <si>
    <t>Услуги поверки узлов учёта тепловой энергии</t>
  </si>
  <si>
    <t>Субсидия на дополнительную помощь местным бюджетам для решения социально значимых вопросов  местного значения (Капитальный и текущий ремонт, благоустройство территории, материально-техническое обеспечение образовательных организаций) (окна,двери)</t>
  </si>
  <si>
    <t>Отчет о финансировании школы из бюджетов различных уровней и расходовании средств, включая родительские средства.</t>
  </si>
  <si>
    <t>от   "01"  ноября  2021 г.</t>
  </si>
  <si>
    <t>"01" ноября  2021 года</t>
  </si>
  <si>
    <t>Единица измерения: руб.</t>
  </si>
  <si>
    <t>на 2022 г.</t>
  </si>
  <si>
    <t>первый год планового периода</t>
  </si>
  <si>
    <t>Субсидии представляемые в соответствии с абзацем вторым пункта 1 статьи 78.1 бюджетного кодекса Российской Федерации (край)</t>
  </si>
  <si>
    <t>на 2023 г.</t>
  </si>
  <si>
    <t>второй год планового периода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</si>
  <si>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</si>
  <si>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</si>
  <si>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</si>
  <si>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</si>
  <si>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Сумма</t>
  </si>
  <si>
    <t>на 2021</t>
  </si>
  <si>
    <t>на 2022</t>
  </si>
  <si>
    <t>на 2023</t>
  </si>
  <si>
    <t>(текущий финансовый год)</t>
  </si>
  <si>
    <t>(первый год планового периода)</t>
  </si>
  <si>
    <t>(второй год планового периода)</t>
  </si>
  <si>
    <t>1</t>
  </si>
  <si>
    <t>2</t>
  </si>
  <si>
    <t>3</t>
  </si>
  <si>
    <t>4</t>
  </si>
  <si>
    <t>4.1</t>
  </si>
  <si>
    <t>5</t>
  </si>
  <si>
    <t>6</t>
  </si>
  <si>
    <t>7</t>
  </si>
  <si>
    <t xml:space="preserve">Выплаты на закупку товаров, работ, услуг, всего 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</si>
  <si>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</si>
  <si>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</si>
  <si>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</si>
  <si>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</si>
  <si>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</si>
  <si>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</si>
  <si>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</si>
  <si>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</si>
  <si>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</si>
  <si>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</si>
  <si>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</si>
  <si>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</si>
  <si>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</si>
  <si>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</si>
  <si>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№ 223 - ФЗ</t>
  </si>
  <si>
    <t>26320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</si>
  <si>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</si>
  <si>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</si>
  <si>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</si>
  <si>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</si>
  <si>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</si>
  <si>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</si>
  <si>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</si>
  <si>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</si>
  <si>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</si>
  <si>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</si>
  <si>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14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</si>
  <si>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</si>
  <si>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</si>
  <si>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</si>
  <si>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</si>
  <si>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</si>
  <si>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</si>
  <si>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них:</t>
  </si>
  <si>
    <t>26422</t>
  </si>
  <si>
    <t>1.4.2.2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</si>
  <si>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</si>
  <si>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14"/>
        <rFont val="Times New Roman"/>
        <family val="1"/>
      </rPr>
      <t>15</t>
    </r>
  </si>
  <si>
    <t>26430</t>
  </si>
  <si>
    <t>1.4.3.1</t>
  </si>
  <si>
    <t>26430.1</t>
  </si>
  <si>
    <t>1.4.3.2</t>
  </si>
  <si>
    <t>26430.2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</si>
  <si>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</si>
  <si>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</si>
  <si>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</si>
  <si>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</si>
  <si>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</si>
  <si>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</si>
  <si>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 xml:space="preserve">в соответствии с Федеральным законом № 223-ФЗ 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</si>
  <si>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</si>
  <si>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</si>
  <si>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</si>
  <si>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</si>
  <si>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</si>
  <si>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</si>
  <si>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</si>
  <si>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26451.1</t>
  </si>
  <si>
    <t>0000000000</t>
  </si>
  <si>
    <t>1.4.5.3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</si>
  <si>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</si>
  <si>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</si>
  <si>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14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</si>
  <si>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</si>
  <si>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</si>
  <si>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</si>
  <si>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</si>
  <si>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</si>
  <si>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</si>
  <si>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</si>
  <si>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</si>
  <si>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Директор МБОУ СОШ №1</t>
  </si>
  <si>
    <t>(должность)</t>
  </si>
  <si>
    <t>Исполнитель</t>
  </si>
  <si>
    <t>Ведущий экономист МКУ ЦМБ</t>
  </si>
  <si>
    <t>О.В.Олейник</t>
  </si>
  <si>
    <t>4-23-07</t>
  </si>
  <si>
    <t>(фамилия, инициалы)</t>
  </si>
  <si>
    <t>(телефон)</t>
  </si>
  <si>
    <t>СОГЛАСОВАНО</t>
  </si>
  <si>
    <t>Начальник  управления образования муниципального образования Тимашевский район</t>
  </si>
  <si>
    <t>(наименование должности уполномоченного лица органа-учредителя)</t>
  </si>
  <si>
    <t>С.В.Проценко</t>
  </si>
  <si>
    <t>"</t>
  </si>
  <si>
    <t>Расчеты (обоснования) к плану финансово-хозяйственной деятельности муниципального учреждения по поступлениям</t>
  </si>
  <si>
    <t>на 2021 год и плановый период 2022 и 2023 годов</t>
  </si>
  <si>
    <t>1. Обоснование (расчет) плановых показателей поступлений доходов по статье 120 "Доходы от собственности" аналитической группы подвида доходов бюджетов</t>
  </si>
  <si>
    <t>Сумма, руб</t>
  </si>
  <si>
    <t>на 2021 год</t>
  </si>
  <si>
    <t>на 2022 год</t>
  </si>
  <si>
    <t>на 2023 год</t>
  </si>
  <si>
    <t>Задолженность по доходам (дебиторская задолженость по доходам) на начало года</t>
  </si>
  <si>
    <t>0100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</si>
  <si>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</si>
  <si>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0200</t>
  </si>
  <si>
    <t>Доходы от собственности, всего</t>
  </si>
  <si>
    <t>0300</t>
  </si>
  <si>
    <t>0310</t>
  </si>
  <si>
    <t>доходы, получаемые в виде арендной либо иной платы за передачу в возмездное пользование муниципального имущества</t>
  </si>
  <si>
    <t>Прочие поступления от использования имущества, находящиегося в оперативном управлении бюджетных и автономных учреждений</t>
  </si>
  <si>
    <t>0390</t>
  </si>
  <si>
    <t>Задолженности по доходам (дебиторская задолженность по доходам) на конец года</t>
  </si>
  <si>
    <t>0400</t>
  </si>
  <si>
    <t>Получение предворительные платежи (авансы) по контрактам (договорам0 (кредиторская задолженность по доходам) на конец года</t>
  </si>
  <si>
    <t>0500</t>
  </si>
  <si>
    <t>Планируемые поступления доходов от собственности (с.0100 - с.0200+с.0300 - с.0400 + с.0500)</t>
  </si>
  <si>
    <t>0600</t>
  </si>
  <si>
    <t>2. Расчет плановых поступлений</t>
  </si>
  <si>
    <t>Наименование объекта</t>
  </si>
  <si>
    <t>Плата ( тариф) арендной платы за единицу площади (объект), руб</t>
  </si>
  <si>
    <t>Планируемый объем предоставления имущества в аренду (в натуральных показателях)</t>
  </si>
  <si>
    <t>Объем планируемых поступлений, руб</t>
  </si>
  <si>
    <t>Недвижимое имущество, всего</t>
  </si>
  <si>
    <t>0101</t>
  </si>
  <si>
    <t>Кабинеты для филиала НАНЧПОУ СКТ "Знание"</t>
  </si>
  <si>
    <t>0102</t>
  </si>
  <si>
    <t>Спортзал с раздевалками</t>
  </si>
  <si>
    <t>0103</t>
  </si>
  <si>
    <t>Нежилое помещение столовой ООО "Тимашевское ПРТ Райпо"</t>
  </si>
  <si>
    <t>Движимое имущество, всего</t>
  </si>
  <si>
    <t>0201</t>
  </si>
  <si>
    <t>9000</t>
  </si>
  <si>
    <t xml:space="preserve">3. Обоснование (расчет) плановых показателей поступлений доходов </t>
  </si>
  <si>
    <t>по статье аналитической группы подвида доходов бюджетов 130 " Доходы от оказания платных услуг, компенсаций затрат"</t>
  </si>
  <si>
    <t>Доходы от оказания услуг, выполнения работ, компенсация затрат</t>
  </si>
  <si>
    <t>субсидии на финансовое обеспечение выполнения муниципального задания за счет средств федерального бюджета (бюджета субъекта РФ, местного бюджета)</t>
  </si>
  <si>
    <t>Доходы от оказания услуг, выполнения работ, в рамках установленного муниципального задания</t>
  </si>
  <si>
    <t>0320</t>
  </si>
  <si>
    <t>Доходы от иной приносящей деятельности</t>
  </si>
  <si>
    <t>0330</t>
  </si>
  <si>
    <t>Доходы, поступающие в порядке возмещения расходов, понесенных в связи с эксплуатацией имущества, находящегося в оперативном управлении бюджетных и автономных учреждений</t>
  </si>
  <si>
    <t>0340</t>
  </si>
  <si>
    <t>Задолженность по доходам (дебиторская задолженость по доходам) на конец года</t>
  </si>
  <si>
    <t>Полученные предварительные платежи (авансы) по контрактам (договорам) (кредиторская задолженность по доходам) на конец года</t>
  </si>
  <si>
    <t xml:space="preserve">3.1. Детализированные расчеты поступлений от оказания платных услуг (работ), компенсация затрат учреждений </t>
  </si>
  <si>
    <t>3.1.1. Расчет плановых поступлений от оказания услуг (выполнения работ) в рамках установленного муниципального задания.</t>
  </si>
  <si>
    <t>Наименование услуги (работы)</t>
  </si>
  <si>
    <t>Плата (тариф) за еденицу услуги (работы)</t>
  </si>
  <si>
    <t>Планируемый  объем оказания услуг (выполнения работ)</t>
  </si>
  <si>
    <t>Общий объем планируемых поступлений</t>
  </si>
  <si>
    <t>Реализация основных общеобразовательных общеобразовательных программ начального общего образования</t>
  </si>
  <si>
    <t>Реализация основных общеобразовательных общеобразовательных программ основного общего образования</t>
  </si>
  <si>
    <t>Реализация основных общеобразовательных общеобразовательных программ среднего общего образования</t>
  </si>
  <si>
    <t>0003</t>
  </si>
  <si>
    <t xml:space="preserve">3.2. Детализированные расчеты поступлений от оказания платных услуг (работ), компенсация затрат учреждений </t>
  </si>
  <si>
    <t>3.2.1. Расчет плановых поступлений от иной приносящей доход деятельности</t>
  </si>
  <si>
    <t>"Занятия в группе по адаптации и подготовке детей к обучению в школе (предшкольная подготовка)"</t>
  </si>
  <si>
    <t>на 2021 год и на плановый период 2022 и 2023 годов</t>
  </si>
  <si>
    <t>дохода</t>
  </si>
  <si>
    <t>Единица измерения : руб.</t>
  </si>
  <si>
    <t>1. Расчет прочих поступлений</t>
  </si>
  <si>
    <t>на 2021 год (на текущий финансовый год)</t>
  </si>
  <si>
    <t>на 2022 год (на очередной финансовый год)</t>
  </si>
  <si>
    <t>на 2021 год (на год планового периода)</t>
  </si>
  <si>
    <t>Прочие поступления, всего</t>
  </si>
  <si>
    <t>1.1. Детализированный расчет прочих поступлений (510)</t>
  </si>
  <si>
    <t>Увеличение остатков денежных средств за счет возврата залоговых платежей, задатков</t>
  </si>
  <si>
    <t>0010</t>
  </si>
  <si>
    <t>0011</t>
  </si>
  <si>
    <t>0012</t>
  </si>
  <si>
    <t>Увеличение остатков денежных средств за счет возврата ранее выплаченных авансов</t>
  </si>
  <si>
    <t>0020</t>
  </si>
  <si>
    <t>0021</t>
  </si>
  <si>
    <t>0022</t>
  </si>
  <si>
    <t>Увеличение остатков денежных средств за счет возврата ранее предоставленных кредитов, займов (ссуд)</t>
  </si>
  <si>
    <t>0030</t>
  </si>
  <si>
    <t>0031</t>
  </si>
  <si>
    <t>0032</t>
  </si>
  <si>
    <t>Увеличение остатков денежных средств за счет поступления в рамках расчетов между головным учреждением и обособленными подразделениями (филиалами)</t>
  </si>
  <si>
    <t>0040</t>
  </si>
  <si>
    <t>0041</t>
  </si>
  <si>
    <t>0042</t>
  </si>
  <si>
    <t>Прочие поступления денежных средств</t>
  </si>
  <si>
    <t>0050</t>
  </si>
  <si>
    <t>0051</t>
  </si>
  <si>
    <t>0052</t>
  </si>
  <si>
    <t>Обоснования (расчеты) плановых показателей по прочим выплатам (610)</t>
  </si>
  <si>
    <t xml:space="preserve">Полное наименование </t>
  </si>
  <si>
    <t>Муниципальное бюджетное общеобразовательное учреждение средняя общеобразовательная</t>
  </si>
  <si>
    <t>учреждения</t>
  </si>
  <si>
    <t>школа №1 имени А.И.Герцена муниципального образования Тимашевский район</t>
  </si>
  <si>
    <t xml:space="preserve">Аналитический код подвида </t>
  </si>
  <si>
    <t>1. Объем прочих выплат</t>
  </si>
  <si>
    <t>Объем расходов</t>
  </si>
  <si>
    <t>Прочие выплаты</t>
  </si>
  <si>
    <t>1.1. Расчет объема прочих выплат (610)</t>
  </si>
  <si>
    <t>Уменьшение остатков денежных средств за счет перечисления залоговых платежей, задатков</t>
  </si>
  <si>
    <t>Уменьшение остатков средств при перечислении на депозиты</t>
  </si>
  <si>
    <t>Уменьшение остатков денежных средств за счет перечисления средств в целях предоставления займов (микрозаймов)</t>
  </si>
  <si>
    <t>0301</t>
  </si>
  <si>
    <t>Уменьшение остатков денежных средств за счет возврата в бюджет средств субсидии, предоставленной учреждению на финансовое обеспечение выполнения государственного (муниципального) задания</t>
  </si>
  <si>
    <t>0401</t>
  </si>
  <si>
    <t>Уменьшение остатков денежных средств за счет возврата в бюджет средств субсидии, предоставленной учреждению на иные цели</t>
  </si>
  <si>
    <t>0501</t>
  </si>
  <si>
    <t>Уменьшение остатков денежных средств за счет возврата в бюджет средств субсидии, предоставленной учреждению на капитальные вложения</t>
  </si>
  <si>
    <t>0601</t>
  </si>
  <si>
    <t>Уменьшение остатков денежных средств за счет выплат в рамках расчетов между головным учреждением и обособленными подразделениями</t>
  </si>
  <si>
    <t>0700</t>
  </si>
  <si>
    <t>0701</t>
  </si>
  <si>
    <t>Прочие выбытия денежных средств</t>
  </si>
  <si>
    <t>0800</t>
  </si>
  <si>
    <t>0801</t>
  </si>
  <si>
    <t>1.2 Расчеты (обоснования) страховых взносов (за счет краевого бюджета) на 2021 год</t>
  </si>
  <si>
    <t>1.3  Расчет (обоснование) расходов на оплату прочих несоциальных выплат персоналу в денежной форме ( за счет край бюджета) на 2021 год</t>
  </si>
  <si>
    <t>1.4  Расчет (обоснование) расходов на оплату социальных пособий и компенсаций персоналу в денежной форме ( за счет край бюджета) на 2021 год</t>
  </si>
  <si>
    <t>1.5  Расчет (обоснование) расходов на оплату социальных пособий и компенсаций персоналу по уходу за ребенком ( за счет край бюджета) на 2021 год</t>
  </si>
  <si>
    <t>Итого по ст.266</t>
  </si>
  <si>
    <t>4.2 Расчеты (обоснования) выплат персоналу при направлении в служебные командировки ( за счет районных бюджета) на 2020 год</t>
  </si>
  <si>
    <t>4.3 Расчет (обоснование) расходов на оплату социальных пособий и компенсаций персоналу в денежной форме ( за счет районого бюджета) на 2020 год</t>
  </si>
  <si>
    <t>Пособия за первые 3 дня временной нетрудоспособности за счет средств работодателя</t>
  </si>
  <si>
    <t>Налог на пособия за первые 3 дня нетрудоспособности</t>
  </si>
  <si>
    <t>4.4 Расчет (обоснование) расходов на оплату социальных пособий и компенсаций персоналу в денежной форме ( за счет районого бюджета) на 2020 год</t>
  </si>
  <si>
    <t>Размер выплаты (пособия) в месяц мруб.</t>
  </si>
  <si>
    <t>3.2 Расчеты (обоснования) страховых взносов ( за счет районого бюджета) на 2021 год</t>
  </si>
  <si>
    <t>4. Расчеты (обоснования) прочих расходов на закупку энергетических ресурсов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</si>
</sst>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0.0"/>
    <numFmt numFmtId="174" formatCode="0.000"/>
    <numFmt numFmtId="175" formatCode="0.00;[Red]0.00"/>
    <numFmt numFmtId="176" formatCode="#,##0.000"/>
  </numFmts>
  <fonts count="66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59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59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 vertical="top"/>
    </xf>
    <xf numFmtId="49" fontId="59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center"/>
    </xf>
    <xf numFmtId="0" fontId="60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4" fontId="6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textRotation="90" wrapText="1"/>
    </xf>
    <xf numFmtId="0" fontId="10" fillId="0" borderId="14" xfId="0" applyNumberFormat="1" applyFont="1" applyBorder="1" applyAlignment="1">
      <alignment horizontal="center" textRotation="90" wrapText="1"/>
    </xf>
    <xf numFmtId="0" fontId="10" fillId="0" borderId="15" xfId="0" applyNumberFormat="1" applyFont="1" applyBorder="1" applyAlignment="1">
      <alignment horizontal="center" textRotation="90" wrapText="1"/>
    </xf>
    <xf numFmtId="49" fontId="60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10" fillId="33" borderId="12" xfId="0" applyNumberFormat="1" applyFont="1" applyFill="1" applyBorder="1" applyAlignment="1">
      <alignment horizontal="center"/>
    </xf>
    <xf numFmtId="4" fontId="60" fillId="33" borderId="12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60" fillId="33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10" fillId="33" borderId="12" xfId="0" applyNumberFormat="1" applyFont="1" applyFill="1" applyBorder="1" applyAlignment="1">
      <alignment horizontal="center"/>
    </xf>
    <xf numFmtId="49" fontId="60" fillId="33" borderId="12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/>
    </xf>
    <xf numFmtId="0" fontId="61" fillId="0" borderId="0" xfId="0" applyFont="1" applyAlignment="1">
      <alignment/>
    </xf>
    <xf numFmtId="172" fontId="10" fillId="33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 horizontal="center"/>
    </xf>
    <xf numFmtId="172" fontId="63" fillId="33" borderId="0" xfId="0" applyNumberFormat="1" applyFont="1" applyFill="1" applyBorder="1" applyAlignment="1">
      <alignment/>
    </xf>
    <xf numFmtId="172" fontId="63" fillId="33" borderId="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172" fontId="63" fillId="33" borderId="0" xfId="0" applyNumberFormat="1" applyFont="1" applyFill="1" applyBorder="1" applyAlignment="1">
      <alignment/>
    </xf>
    <xf numFmtId="172" fontId="63" fillId="33" borderId="0" xfId="0" applyNumberFormat="1" applyFont="1" applyFill="1" applyBorder="1" applyAlignment="1">
      <alignment horizontal="right"/>
    </xf>
    <xf numFmtId="4" fontId="61" fillId="33" borderId="12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 wrapText="1"/>
    </xf>
    <xf numFmtId="0" fontId="61" fillId="33" borderId="0" xfId="0" applyFont="1" applyFill="1" applyAlignment="1">
      <alignment horizontal="center" vertical="center" wrapText="1"/>
    </xf>
    <xf numFmtId="172" fontId="61" fillId="33" borderId="0" xfId="0" applyNumberFormat="1" applyFont="1" applyFill="1" applyBorder="1" applyAlignment="1">
      <alignment wrapText="1"/>
    </xf>
    <xf numFmtId="0" fontId="61" fillId="33" borderId="12" xfId="0" applyFont="1" applyFill="1" applyBorder="1" applyAlignment="1">
      <alignment wrapText="1"/>
    </xf>
    <xf numFmtId="0" fontId="62" fillId="33" borderId="0" xfId="0" applyFont="1" applyFill="1" applyBorder="1" applyAlignment="1">
      <alignment horizontal="center"/>
    </xf>
    <xf numFmtId="4" fontId="61" fillId="33" borderId="0" xfId="0" applyNumberFormat="1" applyFont="1" applyFill="1" applyBorder="1" applyAlignment="1">
      <alignment/>
    </xf>
    <xf numFmtId="10" fontId="61" fillId="33" borderId="12" xfId="0" applyNumberFormat="1" applyFont="1" applyFill="1" applyBorder="1" applyAlignment="1">
      <alignment horizontal="center"/>
    </xf>
    <xf numFmtId="4" fontId="61" fillId="33" borderId="0" xfId="0" applyNumberFormat="1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 horizontal="left"/>
    </xf>
    <xf numFmtId="4" fontId="10" fillId="33" borderId="12" xfId="0" applyNumberFormat="1" applyFont="1" applyFill="1" applyBorder="1" applyAlignment="1">
      <alignment horizontal="center"/>
    </xf>
    <xf numFmtId="4" fontId="59" fillId="33" borderId="12" xfId="0" applyNumberFormat="1" applyFont="1" applyFill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textRotation="90" wrapText="1"/>
    </xf>
    <xf numFmtId="4" fontId="60" fillId="34" borderId="12" xfId="0" applyNumberFormat="1" applyFont="1" applyFill="1" applyBorder="1" applyAlignment="1">
      <alignment horizontal="center"/>
    </xf>
    <xf numFmtId="4" fontId="10" fillId="34" borderId="12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60" fillId="34" borderId="12" xfId="0" applyNumberFormat="1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0" fontId="10" fillId="34" borderId="12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left"/>
    </xf>
    <xf numFmtId="4" fontId="61" fillId="33" borderId="12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 horizontal="left"/>
    </xf>
    <xf numFmtId="176" fontId="60" fillId="33" borderId="12" xfId="0" applyNumberFormat="1" applyFont="1" applyFill="1" applyBorder="1" applyAlignment="1">
      <alignment horizontal="center"/>
    </xf>
    <xf numFmtId="172" fontId="61" fillId="35" borderId="0" xfId="0" applyNumberFormat="1" applyFont="1" applyFill="1" applyBorder="1" applyAlignment="1">
      <alignment/>
    </xf>
    <xf numFmtId="4" fontId="10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12" fillId="35" borderId="0" xfId="0" applyFont="1" applyFill="1" applyAlignment="1">
      <alignment/>
    </xf>
    <xf numFmtId="4" fontId="12" fillId="35" borderId="0" xfId="0" applyNumberFormat="1" applyFont="1" applyFill="1" applyAlignment="1">
      <alignment horizontal="left"/>
    </xf>
    <xf numFmtId="0" fontId="15" fillId="35" borderId="0" xfId="0" applyFont="1" applyFill="1" applyAlignment="1">
      <alignment/>
    </xf>
    <xf numFmtId="0" fontId="12" fillId="35" borderId="0" xfId="0" applyFont="1" applyFill="1" applyAlignment="1">
      <alignment horizontal="center" vertical="center"/>
    </xf>
    <xf numFmtId="4" fontId="12" fillId="35" borderId="0" xfId="0" applyNumberFormat="1" applyFont="1" applyFill="1" applyAlignment="1">
      <alignment horizontal="center" vertical="center"/>
    </xf>
    <xf numFmtId="0" fontId="12" fillId="35" borderId="0" xfId="0" applyFont="1" applyFill="1" applyAlignment="1">
      <alignment horizontal="center"/>
    </xf>
    <xf numFmtId="4" fontId="16" fillId="35" borderId="0" xfId="0" applyNumberFormat="1" applyFont="1" applyFill="1" applyAlignment="1">
      <alignment horizontal="center"/>
    </xf>
    <xf numFmtId="4" fontId="16" fillId="35" borderId="0" xfId="0" applyNumberFormat="1" applyFont="1" applyFill="1" applyAlignment="1">
      <alignment horizontal="left"/>
    </xf>
    <xf numFmtId="0" fontId="6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4" fontId="12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4" fontId="12" fillId="33" borderId="0" xfId="0" applyNumberFormat="1" applyFont="1" applyFill="1" applyAlignment="1">
      <alignment horizontal="left"/>
    </xf>
    <xf numFmtId="0" fontId="1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7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12" xfId="0" applyFont="1" applyFill="1" applyBorder="1" applyAlignment="1">
      <alignment/>
    </xf>
    <xf numFmtId="4" fontId="12" fillId="33" borderId="12" xfId="0" applyNumberFormat="1" applyFont="1" applyFill="1" applyBorder="1" applyAlignment="1">
      <alignment wrapText="1"/>
    </xf>
    <xf numFmtId="4" fontId="12" fillId="33" borderId="12" xfId="0" applyNumberFormat="1" applyFont="1" applyFill="1" applyBorder="1" applyAlignment="1">
      <alignment/>
    </xf>
    <xf numFmtId="172" fontId="61" fillId="35" borderId="0" xfId="0" applyNumberFormat="1" applyFont="1" applyFill="1" applyBorder="1" applyAlignment="1">
      <alignment horizontal="center" vertical="center"/>
    </xf>
    <xf numFmtId="4" fontId="18" fillId="35" borderId="0" xfId="0" applyNumberFormat="1" applyFont="1" applyFill="1" applyBorder="1" applyAlignment="1">
      <alignment horizontal="left" vertical="center"/>
    </xf>
    <xf numFmtId="4" fontId="19" fillId="35" borderId="0" xfId="0" applyNumberFormat="1" applyFont="1" applyFill="1" applyBorder="1" applyAlignment="1">
      <alignment horizontal="left" vertical="center"/>
    </xf>
    <xf numFmtId="172" fontId="61" fillId="35" borderId="0" xfId="0" applyNumberFormat="1" applyFont="1" applyFill="1" applyBorder="1" applyAlignment="1">
      <alignment horizontal="center"/>
    </xf>
    <xf numFmtId="172" fontId="63" fillId="35" borderId="0" xfId="0" applyNumberFormat="1" applyFont="1" applyFill="1" applyBorder="1" applyAlignment="1">
      <alignment/>
    </xf>
    <xf numFmtId="4" fontId="11" fillId="35" borderId="0" xfId="0" applyNumberFormat="1" applyFont="1" applyFill="1" applyBorder="1" applyAlignment="1">
      <alignment horizontal="left"/>
    </xf>
    <xf numFmtId="4" fontId="10" fillId="35" borderId="0" xfId="0" applyNumberFormat="1" applyFont="1" applyFill="1" applyBorder="1" applyAlignment="1">
      <alignment horizontal="left" vertical="center"/>
    </xf>
    <xf numFmtId="0" fontId="61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wrapText="1"/>
    </xf>
    <xf numFmtId="0" fontId="61" fillId="33" borderId="12" xfId="0" applyNumberFormat="1" applyFont="1" applyFill="1" applyBorder="1" applyAlignment="1">
      <alignment horizontal="center"/>
    </xf>
    <xf numFmtId="0" fontId="61" fillId="33" borderId="17" xfId="0" applyFont="1" applyFill="1" applyBorder="1" applyAlignment="1">
      <alignment/>
    </xf>
    <xf numFmtId="0" fontId="61" fillId="33" borderId="18" xfId="0" applyFont="1" applyFill="1" applyBorder="1" applyAlignment="1">
      <alignment/>
    </xf>
    <xf numFmtId="0" fontId="12" fillId="33" borderId="12" xfId="58" applyNumberFormat="1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right"/>
    </xf>
    <xf numFmtId="0" fontId="60" fillId="0" borderId="12" xfId="0" applyNumberFormat="1" applyFont="1" applyBorder="1" applyAlignment="1">
      <alignment horizontal="center" vertical="top"/>
    </xf>
    <xf numFmtId="4" fontId="60" fillId="0" borderId="12" xfId="0" applyNumberFormat="1" applyFont="1" applyBorder="1" applyAlignment="1">
      <alignment vertical="center"/>
    </xf>
    <xf numFmtId="4" fontId="10" fillId="33" borderId="0" xfId="0" applyNumberFormat="1" applyFont="1" applyFill="1" applyBorder="1" applyAlignment="1">
      <alignment horizontal="left"/>
    </xf>
    <xf numFmtId="4" fontId="20" fillId="33" borderId="0" xfId="0" applyNumberFormat="1" applyFont="1" applyFill="1" applyBorder="1" applyAlignment="1">
      <alignment horizontal="left"/>
    </xf>
    <xf numFmtId="4" fontId="61" fillId="33" borderId="0" xfId="0" applyNumberFormat="1" applyFont="1" applyFill="1" applyAlignment="1">
      <alignment/>
    </xf>
    <xf numFmtId="4" fontId="12" fillId="33" borderId="12" xfId="0" applyNumberFormat="1" applyFont="1" applyFill="1" applyBorder="1" applyAlignment="1">
      <alignment/>
    </xf>
    <xf numFmtId="4" fontId="16" fillId="35" borderId="0" xfId="0" applyNumberFormat="1" applyFont="1" applyFill="1" applyAlignment="1">
      <alignment/>
    </xf>
    <xf numFmtId="4" fontId="15" fillId="35" borderId="0" xfId="0" applyNumberFormat="1" applyFont="1" applyFill="1" applyAlignment="1">
      <alignment/>
    </xf>
    <xf numFmtId="4" fontId="61" fillId="33" borderId="0" xfId="0" applyNumberFormat="1" applyFont="1" applyFill="1" applyAlignment="1">
      <alignment horizontal="center" vertical="center"/>
    </xf>
    <xf numFmtId="0" fontId="61" fillId="33" borderId="12" xfId="0" applyFont="1" applyFill="1" applyBorder="1" applyAlignment="1">
      <alignment horizontal="right"/>
    </xf>
    <xf numFmtId="0" fontId="61" fillId="33" borderId="18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4" fontId="11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61" fillId="33" borderId="0" xfId="0" applyFont="1" applyFill="1" applyBorder="1" applyAlignment="1">
      <alignment horizontal="left"/>
    </xf>
    <xf numFmtId="4" fontId="61" fillId="33" borderId="0" xfId="0" applyNumberFormat="1" applyFont="1" applyFill="1" applyBorder="1" applyAlignment="1">
      <alignment horizontal="right"/>
    </xf>
    <xf numFmtId="0" fontId="61" fillId="33" borderId="16" xfId="0" applyNumberFormat="1" applyFont="1" applyFill="1" applyBorder="1" applyAlignment="1">
      <alignment/>
    </xf>
    <xf numFmtId="0" fontId="61" fillId="33" borderId="18" xfId="0" applyFont="1" applyFill="1" applyBorder="1" applyAlignment="1">
      <alignment wrapText="1"/>
    </xf>
    <xf numFmtId="0" fontId="61" fillId="33" borderId="20" xfId="0" applyNumberFormat="1" applyFont="1" applyFill="1" applyBorder="1" applyAlignment="1">
      <alignment/>
    </xf>
    <xf numFmtId="0" fontId="61" fillId="33" borderId="12" xfId="0" applyFont="1" applyFill="1" applyBorder="1" applyAlignment="1">
      <alignment/>
    </xf>
    <xf numFmtId="2" fontId="61" fillId="33" borderId="12" xfId="0" applyNumberFormat="1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173" fontId="61" fillId="33" borderId="12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61" fillId="33" borderId="0" xfId="0" applyFont="1" applyFill="1" applyAlignment="1">
      <alignment horizontal="right"/>
    </xf>
    <xf numFmtId="0" fontId="61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61" fillId="0" borderId="12" xfId="0" applyFont="1" applyBorder="1" applyAlignment="1">
      <alignment/>
    </xf>
    <xf numFmtId="0" fontId="61" fillId="0" borderId="12" xfId="0" applyFont="1" applyBorder="1" applyAlignment="1">
      <alignment horizontal="center"/>
    </xf>
    <xf numFmtId="172" fontId="61" fillId="33" borderId="0" xfId="0" applyNumberFormat="1" applyFont="1" applyFill="1" applyBorder="1" applyAlignment="1">
      <alignment horizontal="center" vertical="center"/>
    </xf>
    <xf numFmtId="172" fontId="61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left" vertical="center"/>
    </xf>
    <xf numFmtId="0" fontId="10" fillId="33" borderId="17" xfId="0" applyFont="1" applyFill="1" applyBorder="1" applyAlignment="1">
      <alignment/>
    </xf>
    <xf numFmtId="0" fontId="61" fillId="33" borderId="17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172" fontId="63" fillId="35" borderId="0" xfId="0" applyNumberFormat="1" applyFont="1" applyFill="1" applyBorder="1" applyAlignment="1">
      <alignment horizontal="left"/>
    </xf>
    <xf numFmtId="4" fontId="61" fillId="33" borderId="21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left"/>
    </xf>
    <xf numFmtId="0" fontId="61" fillId="33" borderId="0" xfId="0" applyFont="1" applyFill="1" applyBorder="1" applyAlignment="1">
      <alignment horizontal="center" vertical="center"/>
    </xf>
    <xf numFmtId="4" fontId="61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center" vertical="center"/>
    </xf>
    <xf numFmtId="4" fontId="6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61" fillId="33" borderId="12" xfId="0" applyNumberFormat="1" applyFont="1" applyFill="1" applyBorder="1" applyAlignment="1">
      <alignment horizontal="right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 wrapText="1"/>
    </xf>
    <xf numFmtId="0" fontId="61" fillId="33" borderId="12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4" fontId="61" fillId="33" borderId="12" xfId="0" applyNumberFormat="1" applyFont="1" applyFill="1" applyBorder="1" applyAlignment="1">
      <alignment horizontal="center"/>
    </xf>
    <xf numFmtId="0" fontId="61" fillId="33" borderId="12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 vertical="center" wrapText="1"/>
    </xf>
    <xf numFmtId="0" fontId="61" fillId="33" borderId="17" xfId="0" applyFont="1" applyFill="1" applyBorder="1" applyAlignment="1">
      <alignment horizontal="left" wrapText="1"/>
    </xf>
    <xf numFmtId="0" fontId="61" fillId="33" borderId="19" xfId="0" applyFont="1" applyFill="1" applyBorder="1" applyAlignment="1">
      <alignment horizontal="left" wrapText="1"/>
    </xf>
    <xf numFmtId="0" fontId="61" fillId="33" borderId="18" xfId="0" applyFont="1" applyFill="1" applyBorder="1" applyAlignment="1">
      <alignment horizontal="left" wrapText="1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2" fillId="33" borderId="19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4" fontId="61" fillId="33" borderId="17" xfId="0" applyNumberFormat="1" applyFont="1" applyFill="1" applyBorder="1" applyAlignment="1">
      <alignment horizontal="right"/>
    </xf>
    <xf numFmtId="4" fontId="61" fillId="33" borderId="18" xfId="0" applyNumberFormat="1" applyFont="1" applyFill="1" applyBorder="1" applyAlignment="1">
      <alignment horizontal="right"/>
    </xf>
    <xf numFmtId="0" fontId="61" fillId="33" borderId="12" xfId="0" applyFont="1" applyFill="1" applyBorder="1" applyAlignment="1">
      <alignment horizontal="left" wrapText="1"/>
    </xf>
    <xf numFmtId="0" fontId="12" fillId="33" borderId="17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4" fontId="61" fillId="33" borderId="12" xfId="0" applyNumberFormat="1" applyFont="1" applyFill="1" applyBorder="1" applyAlignment="1">
      <alignment horizontal="right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4" fontId="61" fillId="33" borderId="0" xfId="0" applyNumberFormat="1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 wrapText="1"/>
    </xf>
    <xf numFmtId="0" fontId="61" fillId="33" borderId="18" xfId="0" applyFont="1" applyFill="1" applyBorder="1" applyAlignment="1">
      <alignment horizontal="center" wrapText="1"/>
    </xf>
    <xf numFmtId="0" fontId="61" fillId="33" borderId="19" xfId="0" applyFont="1" applyFill="1" applyBorder="1" applyAlignment="1">
      <alignment horizontal="center" wrapText="1"/>
    </xf>
    <xf numFmtId="4" fontId="12" fillId="33" borderId="17" xfId="0" applyNumberFormat="1" applyFont="1" applyFill="1" applyBorder="1" applyAlignment="1">
      <alignment horizontal="center"/>
    </xf>
    <xf numFmtId="4" fontId="12" fillId="33" borderId="18" xfId="0" applyNumberFormat="1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4" fontId="61" fillId="33" borderId="17" xfId="0" applyNumberFormat="1" applyFont="1" applyFill="1" applyBorder="1" applyAlignment="1">
      <alignment horizontal="center"/>
    </xf>
    <xf numFmtId="4" fontId="61" fillId="33" borderId="18" xfId="0" applyNumberFormat="1" applyFont="1" applyFill="1" applyBorder="1" applyAlignment="1">
      <alignment horizontal="center"/>
    </xf>
    <xf numFmtId="0" fontId="61" fillId="33" borderId="17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left" vertical="center" wrapText="1"/>
    </xf>
    <xf numFmtId="0" fontId="61" fillId="33" borderId="18" xfId="0" applyFont="1" applyFill="1" applyBorder="1" applyAlignment="1">
      <alignment horizontal="left" vertical="center" wrapText="1"/>
    </xf>
    <xf numFmtId="174" fontId="61" fillId="33" borderId="17" xfId="0" applyNumberFormat="1" applyFont="1" applyFill="1" applyBorder="1" applyAlignment="1">
      <alignment horizontal="center"/>
    </xf>
    <xf numFmtId="174" fontId="61" fillId="33" borderId="18" xfId="0" applyNumberFormat="1" applyFont="1" applyFill="1" applyBorder="1" applyAlignment="1">
      <alignment horizontal="center"/>
    </xf>
    <xf numFmtId="0" fontId="10" fillId="33" borderId="17" xfId="53" applyFont="1" applyFill="1" applyBorder="1" applyAlignment="1">
      <alignment horizontal="left" vertical="center" wrapText="1"/>
      <protection/>
    </xf>
    <xf numFmtId="0" fontId="10" fillId="33" borderId="19" xfId="53" applyFont="1" applyFill="1" applyBorder="1" applyAlignment="1">
      <alignment horizontal="left" vertical="center" wrapText="1"/>
      <protection/>
    </xf>
    <xf numFmtId="0" fontId="10" fillId="33" borderId="18" xfId="53" applyFont="1" applyFill="1" applyBorder="1" applyAlignment="1">
      <alignment horizontal="left" vertical="center" wrapText="1"/>
      <protection/>
    </xf>
    <xf numFmtId="0" fontId="61" fillId="33" borderId="17" xfId="0" applyFont="1" applyFill="1" applyBorder="1" applyAlignment="1">
      <alignment horizontal="left"/>
    </xf>
    <xf numFmtId="0" fontId="61" fillId="33" borderId="19" xfId="0" applyFont="1" applyFill="1" applyBorder="1" applyAlignment="1">
      <alignment horizontal="left"/>
    </xf>
    <xf numFmtId="0" fontId="61" fillId="33" borderId="18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center" wrapText="1"/>
    </xf>
    <xf numFmtId="0" fontId="61" fillId="33" borderId="12" xfId="0" applyFont="1" applyFill="1" applyBorder="1" applyAlignment="1">
      <alignment horizontal="center" vertical="center" wrapText="1"/>
    </xf>
    <xf numFmtId="4" fontId="61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left"/>
    </xf>
    <xf numFmtId="4" fontId="12" fillId="33" borderId="17" xfId="0" applyNumberFormat="1" applyFont="1" applyFill="1" applyBorder="1" applyAlignment="1">
      <alignment horizontal="right"/>
    </xf>
    <xf numFmtId="4" fontId="12" fillId="33" borderId="18" xfId="0" applyNumberFormat="1" applyFont="1" applyFill="1" applyBorder="1" applyAlignment="1">
      <alignment horizontal="right"/>
    </xf>
    <xf numFmtId="0" fontId="12" fillId="33" borderId="17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4" fontId="12" fillId="33" borderId="17" xfId="0" applyNumberFormat="1" applyFont="1" applyFill="1" applyBorder="1" applyAlignment="1">
      <alignment horizontal="right" wrapText="1"/>
    </xf>
    <xf numFmtId="4" fontId="12" fillId="33" borderId="18" xfId="0" applyNumberFormat="1" applyFont="1" applyFill="1" applyBorder="1" applyAlignment="1">
      <alignment horizontal="right" wrapText="1"/>
    </xf>
    <xf numFmtId="0" fontId="61" fillId="33" borderId="12" xfId="0" applyFont="1" applyFill="1" applyBorder="1" applyAlignment="1">
      <alignment horizontal="left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174" fontId="61" fillId="33" borderId="12" xfId="0" applyNumberFormat="1" applyFont="1" applyFill="1" applyBorder="1" applyAlignment="1">
      <alignment horizontal="center"/>
    </xf>
    <xf numFmtId="172" fontId="61" fillId="33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 vertical="center" wrapText="1"/>
    </xf>
    <xf numFmtId="0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 wrapText="1"/>
    </xf>
    <xf numFmtId="0" fontId="11" fillId="0" borderId="12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60" fillId="0" borderId="12" xfId="0" applyNumberFormat="1" applyFont="1" applyBorder="1" applyAlignment="1">
      <alignment horizontal="left"/>
    </xf>
    <xf numFmtId="0" fontId="10" fillId="33" borderId="12" xfId="0" applyNumberFormat="1" applyFont="1" applyFill="1" applyBorder="1" applyAlignment="1">
      <alignment horizontal="left" wrapText="1"/>
    </xf>
    <xf numFmtId="0" fontId="10" fillId="33" borderId="12" xfId="0" applyNumberFormat="1" applyFont="1" applyFill="1" applyBorder="1" applyAlignment="1">
      <alignment horizontal="left"/>
    </xf>
    <xf numFmtId="0" fontId="11" fillId="34" borderId="12" xfId="0" applyNumberFormat="1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left"/>
    </xf>
    <xf numFmtId="0" fontId="10" fillId="33" borderId="19" xfId="0" applyNumberFormat="1" applyFont="1" applyFill="1" applyBorder="1" applyAlignment="1">
      <alignment horizontal="left"/>
    </xf>
    <xf numFmtId="0" fontId="10" fillId="33" borderId="18" xfId="0" applyNumberFormat="1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left" wrapText="1"/>
    </xf>
    <xf numFmtId="0" fontId="10" fillId="33" borderId="19" xfId="0" applyNumberFormat="1" applyFont="1" applyFill="1" applyBorder="1" applyAlignment="1">
      <alignment horizontal="left" wrapText="1"/>
    </xf>
    <xf numFmtId="0" fontId="10" fillId="33" borderId="18" xfId="0" applyNumberFormat="1" applyFont="1" applyFill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left" wrapText="1"/>
    </xf>
    <xf numFmtId="0" fontId="10" fillId="0" borderId="19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wrapText="1"/>
    </xf>
    <xf numFmtId="0" fontId="10" fillId="34" borderId="17" xfId="0" applyNumberFormat="1" applyFont="1" applyFill="1" applyBorder="1" applyAlignment="1">
      <alignment horizontal="left" wrapText="1"/>
    </xf>
    <xf numFmtId="0" fontId="10" fillId="34" borderId="19" xfId="0" applyNumberFormat="1" applyFont="1" applyFill="1" applyBorder="1" applyAlignment="1">
      <alignment horizontal="left" wrapText="1"/>
    </xf>
    <xf numFmtId="0" fontId="10" fillId="34" borderId="18" xfId="0" applyNumberFormat="1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Border="1" applyAlignment="1">
      <alignment horizontal="center" vertical="center" textRotation="90" wrapText="1"/>
    </xf>
    <xf numFmtId="0" fontId="10" fillId="0" borderId="22" xfId="0" applyNumberFormat="1" applyFont="1" applyBorder="1" applyAlignment="1">
      <alignment horizontal="center" vertical="center" textRotation="90" wrapText="1"/>
    </xf>
    <xf numFmtId="0" fontId="10" fillId="0" borderId="2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textRotation="90" wrapText="1"/>
    </xf>
    <xf numFmtId="4" fontId="59" fillId="0" borderId="12" xfId="0" applyNumberFormat="1" applyFont="1" applyBorder="1" applyAlignment="1">
      <alignment horizontal="center"/>
    </xf>
    <xf numFmtId="49" fontId="10" fillId="33" borderId="22" xfId="0" applyNumberFormat="1" applyFont="1" applyFill="1" applyBorder="1" applyAlignment="1">
      <alignment horizontal="center"/>
    </xf>
    <xf numFmtId="4" fontId="61" fillId="0" borderId="12" xfId="0" applyNumberFormat="1" applyFont="1" applyBorder="1" applyAlignment="1">
      <alignment horizontal="center"/>
    </xf>
    <xf numFmtId="0" fontId="10" fillId="33" borderId="17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0" fontId="10" fillId="33" borderId="18" xfId="0" applyNumberFormat="1" applyFont="1" applyFill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left" wrapText="1"/>
    </xf>
    <xf numFmtId="0" fontId="11" fillId="0" borderId="19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/>
    </xf>
    <xf numFmtId="0" fontId="60" fillId="0" borderId="17" xfId="0" applyNumberFormat="1" applyFont="1" applyBorder="1" applyAlignment="1">
      <alignment horizontal="left" wrapText="1"/>
    </xf>
    <xf numFmtId="0" fontId="60" fillId="0" borderId="19" xfId="0" applyNumberFormat="1" applyFont="1" applyBorder="1" applyAlignment="1">
      <alignment horizontal="left" wrapText="1"/>
    </xf>
    <xf numFmtId="0" fontId="60" fillId="0" borderId="18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left"/>
    </xf>
    <xf numFmtId="0" fontId="10" fillId="0" borderId="27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60" fillId="0" borderId="25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41" fillId="0" borderId="30" xfId="0" applyNumberFormat="1" applyFont="1" applyBorder="1" applyAlignment="1">
      <alignment horizontal="center" vertical="top"/>
    </xf>
    <xf numFmtId="0" fontId="10" fillId="0" borderId="25" xfId="0" applyNumberFormat="1" applyFont="1" applyBorder="1" applyAlignment="1">
      <alignment horizontal="center" vertical="top"/>
    </xf>
    <xf numFmtId="0" fontId="59" fillId="0" borderId="10" xfId="0" applyNumberFormat="1" applyFont="1" applyBorder="1" applyAlignment="1">
      <alignment horizontal="center"/>
    </xf>
    <xf numFmtId="0" fontId="59" fillId="0" borderId="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59" fillId="0" borderId="29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left"/>
    </xf>
    <xf numFmtId="0" fontId="10" fillId="0" borderId="32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20" xfId="0" applyNumberFormat="1" applyFont="1" applyBorder="1" applyAlignment="1">
      <alignment horizontal="left" wrapText="1"/>
    </xf>
    <xf numFmtId="4" fontId="10" fillId="0" borderId="17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wrapText="1"/>
    </xf>
    <xf numFmtId="0" fontId="10" fillId="0" borderId="24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4" fontId="10" fillId="0" borderId="16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/>
    </xf>
    <xf numFmtId="4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61" fillId="33" borderId="16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0" fontId="61" fillId="33" borderId="20" xfId="0" applyFont="1" applyFill="1" applyBorder="1" applyAlignment="1">
      <alignment horizontal="left"/>
    </xf>
    <xf numFmtId="4" fontId="61" fillId="33" borderId="21" xfId="0" applyNumberFormat="1" applyFont="1" applyFill="1" applyBorder="1" applyAlignment="1">
      <alignment horizontal="center"/>
    </xf>
    <xf numFmtId="0" fontId="61" fillId="33" borderId="16" xfId="0" applyNumberFormat="1" applyFont="1" applyFill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61" fillId="33" borderId="23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0" fontId="61" fillId="33" borderId="24" xfId="0" applyFont="1" applyFill="1" applyBorder="1" applyAlignment="1">
      <alignment horizontal="left"/>
    </xf>
    <xf numFmtId="4" fontId="61" fillId="33" borderId="23" xfId="0" applyNumberFormat="1" applyFont="1" applyFill="1" applyBorder="1" applyAlignment="1">
      <alignment horizontal="center"/>
    </xf>
    <xf numFmtId="0" fontId="61" fillId="33" borderId="2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60;&#1061;&#1044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05."/>
    </sheetNames>
    <sheetDataSet>
      <sheetData sheetId="0">
        <row r="472">
          <cell r="J472">
            <v>41896.92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767"/>
  <sheetViews>
    <sheetView tabSelected="1" view="pageBreakPreview" zoomScale="50" zoomScaleSheetLayoutView="50" workbookViewId="0" topLeftCell="A10">
      <selection activeCell="H23" sqref="H23:N23"/>
    </sheetView>
  </sheetViews>
  <sheetFormatPr defaultColWidth="17.75390625" defaultRowHeight="12.75"/>
  <cols>
    <col min="1" max="1" width="8.625" style="8" customWidth="1"/>
    <col min="2" max="2" width="17.75390625" style="8" customWidth="1"/>
    <col min="3" max="3" width="29.125" style="8" customWidth="1"/>
    <col min="4" max="4" width="11.625" style="8" customWidth="1"/>
    <col min="5" max="5" width="8.625" style="8" customWidth="1"/>
    <col min="6" max="6" width="7.75390625" style="8" customWidth="1"/>
    <col min="7" max="7" width="15.25390625" style="8" customWidth="1"/>
    <col min="8" max="8" width="18.00390625" style="8" customWidth="1"/>
    <col min="9" max="9" width="17.625" style="8" customWidth="1"/>
    <col min="10" max="11" width="21.625" style="8" customWidth="1"/>
    <col min="12" max="12" width="19.25390625" style="8" customWidth="1"/>
    <col min="13" max="13" width="18.25390625" style="8" customWidth="1"/>
    <col min="14" max="14" width="19.875" style="8" customWidth="1"/>
    <col min="15" max="15" width="18.875" style="8" customWidth="1"/>
    <col min="16" max="16" width="1.875" style="8" hidden="1" customWidth="1"/>
    <col min="17" max="17" width="26.00390625" style="1" customWidth="1"/>
    <col min="18" max="18" width="18.00390625" style="1" bestFit="1" customWidth="1"/>
    <col min="19" max="19" width="23.25390625" style="1" bestFit="1" customWidth="1"/>
    <col min="20" max="20" width="24.00390625" style="1" bestFit="1" customWidth="1"/>
    <col min="21" max="16384" width="17.75390625" style="1" customWidth="1"/>
  </cols>
  <sheetData>
    <row r="1" ht="14.25" customHeight="1"/>
    <row r="2" ht="14.25" customHeight="1"/>
    <row r="3" spans="1:16" s="2" customFormat="1" ht="18.75">
      <c r="A3" s="8"/>
      <c r="B3" s="8"/>
      <c r="C3" s="8"/>
      <c r="D3" s="8"/>
      <c r="E3" s="8"/>
      <c r="F3" s="8"/>
      <c r="G3" s="8"/>
      <c r="H3" s="8"/>
      <c r="I3" s="8"/>
      <c r="J3" s="9"/>
      <c r="K3" s="9"/>
      <c r="L3" s="278" t="s">
        <v>4</v>
      </c>
      <c r="M3" s="278"/>
      <c r="N3" s="278"/>
      <c r="O3" s="278"/>
      <c r="P3" s="8"/>
    </row>
    <row r="4" spans="1:16" s="2" customFormat="1" ht="18.75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322" t="s">
        <v>295</v>
      </c>
      <c r="M4" s="322"/>
      <c r="N4" s="322"/>
      <c r="O4" s="322"/>
      <c r="P4" s="8"/>
    </row>
    <row r="5" spans="1:16" s="3" customFormat="1" ht="18.75">
      <c r="A5" s="8"/>
      <c r="B5" s="8"/>
      <c r="C5" s="8"/>
      <c r="D5" s="8"/>
      <c r="E5" s="8"/>
      <c r="F5" s="8"/>
      <c r="G5" s="8"/>
      <c r="H5" s="8"/>
      <c r="I5" s="11"/>
      <c r="J5" s="11"/>
      <c r="K5" s="11"/>
      <c r="L5" s="12" t="s">
        <v>142</v>
      </c>
      <c r="M5" s="12"/>
      <c r="N5" s="12"/>
      <c r="O5" s="12"/>
      <c r="P5" s="8"/>
    </row>
    <row r="6" spans="1:16" s="3" customFormat="1" ht="18.75" customHeight="1">
      <c r="A6" s="8"/>
      <c r="B6" s="8"/>
      <c r="C6" s="8"/>
      <c r="D6" s="8"/>
      <c r="E6" s="8"/>
      <c r="F6" s="8"/>
      <c r="G6" s="8"/>
      <c r="H6" s="8"/>
      <c r="I6" s="11"/>
      <c r="J6" s="11"/>
      <c r="K6" s="11"/>
      <c r="L6" s="323" t="s">
        <v>296</v>
      </c>
      <c r="M6" s="323"/>
      <c r="N6" s="323"/>
      <c r="O6" s="323"/>
      <c r="P6" s="8"/>
    </row>
    <row r="7" spans="1:16" s="3" customFormat="1" ht="18.75">
      <c r="A7" s="8"/>
      <c r="B7" s="8"/>
      <c r="C7" s="8"/>
      <c r="D7" s="8"/>
      <c r="E7" s="8"/>
      <c r="F7" s="8"/>
      <c r="G7" s="8"/>
      <c r="H7" s="8"/>
      <c r="I7" s="11"/>
      <c r="J7" s="11"/>
      <c r="K7" s="11"/>
      <c r="L7" s="323"/>
      <c r="M7" s="323"/>
      <c r="N7" s="323"/>
      <c r="O7" s="323"/>
      <c r="P7" s="8"/>
    </row>
    <row r="8" spans="1:16" s="3" customFormat="1" ht="18.75">
      <c r="A8" s="8"/>
      <c r="B8" s="8"/>
      <c r="C8" s="8"/>
      <c r="D8" s="8"/>
      <c r="E8" s="8"/>
      <c r="F8" s="8"/>
      <c r="G8" s="8"/>
      <c r="H8" s="8"/>
      <c r="I8" s="11"/>
      <c r="J8" s="11"/>
      <c r="K8" s="11"/>
      <c r="L8" s="323"/>
      <c r="M8" s="323"/>
      <c r="N8" s="323"/>
      <c r="O8" s="323"/>
      <c r="P8" s="8"/>
    </row>
    <row r="9" spans="1:16" s="2" customFormat="1" ht="18" customHeight="1">
      <c r="A9" s="8"/>
      <c r="B9" s="8"/>
      <c r="C9" s="8"/>
      <c r="D9" s="8"/>
      <c r="E9" s="8"/>
      <c r="F9" s="8"/>
      <c r="G9" s="8"/>
      <c r="H9" s="8"/>
      <c r="I9" s="13"/>
      <c r="J9" s="13"/>
      <c r="K9" s="13"/>
      <c r="L9" s="324"/>
      <c r="M9" s="324"/>
      <c r="N9" s="324"/>
      <c r="O9" s="324"/>
      <c r="P9" s="77"/>
    </row>
    <row r="10" spans="1:16" s="3" customFormat="1" ht="18.75">
      <c r="A10" s="8"/>
      <c r="B10" s="8"/>
      <c r="C10" s="8"/>
      <c r="D10" s="8"/>
      <c r="E10" s="8"/>
      <c r="F10" s="8"/>
      <c r="G10" s="8"/>
      <c r="H10" s="8"/>
      <c r="I10" s="11"/>
      <c r="J10" s="11"/>
      <c r="K10" s="11"/>
      <c r="L10" s="12" t="s">
        <v>143</v>
      </c>
      <c r="M10" s="12"/>
      <c r="N10" s="12"/>
      <c r="O10" s="12"/>
      <c r="P10" s="8"/>
    </row>
    <row r="11" spans="1:16" s="2" customFormat="1" ht="19.5">
      <c r="A11" s="8"/>
      <c r="B11" s="8"/>
      <c r="C11" s="8"/>
      <c r="D11" s="8"/>
      <c r="E11" s="8"/>
      <c r="F11" s="8"/>
      <c r="G11" s="8"/>
      <c r="H11" s="8"/>
      <c r="I11" s="13"/>
      <c r="J11" s="13"/>
      <c r="K11" s="13"/>
      <c r="L11" s="10"/>
      <c r="M11" s="13"/>
      <c r="N11" s="325" t="s">
        <v>280</v>
      </c>
      <c r="O11" s="325"/>
      <c r="P11" s="8"/>
    </row>
    <row r="12" spans="1:16" s="3" customFormat="1" ht="18.75">
      <c r="A12" s="8"/>
      <c r="B12" s="8"/>
      <c r="C12" s="8"/>
      <c r="D12" s="8"/>
      <c r="E12" s="8"/>
      <c r="F12" s="8"/>
      <c r="G12" s="8"/>
      <c r="H12" s="8"/>
      <c r="I12" s="11"/>
      <c r="J12" s="11"/>
      <c r="K12" s="11"/>
      <c r="L12" s="12" t="s">
        <v>3</v>
      </c>
      <c r="M12" s="11"/>
      <c r="N12" s="8" t="s">
        <v>144</v>
      </c>
      <c r="O12" s="14"/>
      <c r="P12" s="8"/>
    </row>
    <row r="13" spans="1:16" s="2" customFormat="1" ht="19.5">
      <c r="A13" s="8"/>
      <c r="B13" s="8"/>
      <c r="C13" s="8"/>
      <c r="D13" s="8"/>
      <c r="E13" s="8"/>
      <c r="F13" s="8"/>
      <c r="G13" s="8"/>
      <c r="H13" s="8"/>
      <c r="I13" s="15"/>
      <c r="J13" s="15"/>
      <c r="K13" s="15"/>
      <c r="L13" s="15"/>
      <c r="M13" s="15"/>
      <c r="N13" s="15"/>
      <c r="O13" s="15"/>
      <c r="P13" s="8"/>
    </row>
    <row r="14" spans="1:16" s="2" customFormat="1" ht="19.5">
      <c r="A14" s="8"/>
      <c r="B14" s="8"/>
      <c r="C14" s="8"/>
      <c r="D14" s="8"/>
      <c r="E14" s="8"/>
      <c r="F14" s="8"/>
      <c r="G14" s="8"/>
      <c r="H14" s="8"/>
      <c r="I14" s="15"/>
      <c r="J14" s="15"/>
      <c r="K14" s="31"/>
      <c r="L14" s="277" t="s">
        <v>581</v>
      </c>
      <c r="M14" s="277"/>
      <c r="N14" s="277"/>
      <c r="O14" s="277"/>
      <c r="P14" s="8"/>
    </row>
    <row r="15" spans="1:16" s="2" customFormat="1" ht="19.5">
      <c r="A15" s="8"/>
      <c r="B15" s="8"/>
      <c r="C15" s="8" t="s">
        <v>267</v>
      </c>
      <c r="D15" s="8"/>
      <c r="E15" s="8"/>
      <c r="F15" s="8"/>
      <c r="G15" s="8"/>
      <c r="H15" s="8"/>
      <c r="I15" s="15"/>
      <c r="J15" s="15"/>
      <c r="K15" s="15"/>
      <c r="L15" s="15"/>
      <c r="M15" s="15"/>
      <c r="N15" s="15"/>
      <c r="O15" s="15"/>
      <c r="P15" s="8"/>
    </row>
    <row r="16" spans="1:16" s="4" customFormat="1" ht="15.75" customHeight="1">
      <c r="A16" s="16"/>
      <c r="B16" s="16"/>
      <c r="C16" s="16"/>
      <c r="D16" s="16"/>
      <c r="E16" s="16"/>
      <c r="F16" s="16"/>
      <c r="G16" s="320" t="s">
        <v>579</v>
      </c>
      <c r="H16" s="320"/>
      <c r="I16" s="320"/>
      <c r="J16" s="320"/>
      <c r="K16" s="320"/>
      <c r="L16" s="16"/>
      <c r="M16" s="16"/>
      <c r="N16" s="16"/>
      <c r="O16" s="16"/>
      <c r="P16" s="16"/>
    </row>
    <row r="17" spans="1:16" s="4" customFormat="1" ht="18.75">
      <c r="A17" s="16"/>
      <c r="B17" s="16"/>
      <c r="C17" s="16"/>
      <c r="D17" s="16"/>
      <c r="E17" s="16"/>
      <c r="F17" s="17"/>
      <c r="G17" s="320"/>
      <c r="H17" s="320"/>
      <c r="I17" s="320"/>
      <c r="J17" s="320"/>
      <c r="K17" s="320"/>
      <c r="L17" s="16"/>
      <c r="M17" s="16"/>
      <c r="N17" s="16"/>
      <c r="O17" s="321"/>
      <c r="P17" s="16"/>
    </row>
    <row r="18" spans="7:15" ht="30.75" customHeight="1">
      <c r="G18" s="278" t="s">
        <v>580</v>
      </c>
      <c r="H18" s="278"/>
      <c r="I18" s="278"/>
      <c r="J18" s="278"/>
      <c r="K18" s="278"/>
      <c r="O18" s="321"/>
    </row>
    <row r="19" ht="14.25" customHeight="1"/>
    <row r="20" spans="1:16" s="5" customFormat="1" ht="18.75">
      <c r="A20" s="16"/>
      <c r="B20" s="307" t="s">
        <v>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16"/>
    </row>
    <row r="21" ht="13.5" customHeight="1"/>
    <row r="22" spans="1:15" ht="15.75" customHeight="1">
      <c r="A22" s="308" t="s">
        <v>0</v>
      </c>
      <c r="B22" s="309"/>
      <c r="C22" s="309"/>
      <c r="D22" s="310"/>
      <c r="E22" s="314" t="s">
        <v>1</v>
      </c>
      <c r="F22" s="314" t="s">
        <v>139</v>
      </c>
      <c r="G22" s="314" t="s">
        <v>128</v>
      </c>
      <c r="H22" s="317" t="s">
        <v>129</v>
      </c>
      <c r="I22" s="318"/>
      <c r="J22" s="318"/>
      <c r="K22" s="318"/>
      <c r="L22" s="318"/>
      <c r="M22" s="318"/>
      <c r="N22" s="319"/>
      <c r="O22" s="295" t="s">
        <v>2</v>
      </c>
    </row>
    <row r="23" spans="1:15" ht="17.25" customHeight="1">
      <c r="A23" s="311"/>
      <c r="B23" s="312"/>
      <c r="C23" s="312"/>
      <c r="D23" s="313"/>
      <c r="E23" s="315"/>
      <c r="F23" s="315"/>
      <c r="G23" s="315"/>
      <c r="H23" s="298" t="s">
        <v>141</v>
      </c>
      <c r="I23" s="299"/>
      <c r="J23" s="299"/>
      <c r="K23" s="299"/>
      <c r="L23" s="299"/>
      <c r="M23" s="299"/>
      <c r="N23" s="300"/>
      <c r="O23" s="296"/>
    </row>
    <row r="24" spans="1:17" ht="199.5" customHeight="1">
      <c r="A24" s="311"/>
      <c r="B24" s="312"/>
      <c r="C24" s="312"/>
      <c r="D24" s="313"/>
      <c r="E24" s="316"/>
      <c r="F24" s="316"/>
      <c r="G24" s="316"/>
      <c r="H24" s="20" t="s">
        <v>130</v>
      </c>
      <c r="I24" s="27" t="s">
        <v>125</v>
      </c>
      <c r="J24" s="70" t="s">
        <v>126</v>
      </c>
      <c r="K24" s="28" t="s">
        <v>140</v>
      </c>
      <c r="L24" s="27" t="s">
        <v>138</v>
      </c>
      <c r="M24" s="29" t="s">
        <v>127</v>
      </c>
      <c r="N24" s="27" t="s">
        <v>268</v>
      </c>
      <c r="O24" s="297"/>
      <c r="Q24" s="182">
        <f>L25-L91</f>
        <v>1.3096723705530167E-10</v>
      </c>
    </row>
    <row r="25" spans="1:18" ht="39" customHeight="1">
      <c r="A25" s="301" t="s">
        <v>271</v>
      </c>
      <c r="B25" s="302"/>
      <c r="C25" s="302"/>
      <c r="D25" s="303"/>
      <c r="E25" s="19" t="s">
        <v>145</v>
      </c>
      <c r="F25" s="32" t="s">
        <v>6</v>
      </c>
      <c r="G25" s="32" t="s">
        <v>6</v>
      </c>
      <c r="H25" s="71">
        <f>I25+J25+K25+L25+M25+N25</f>
        <v>777685.6009800013</v>
      </c>
      <c r="I25" s="26">
        <f>I51-I27</f>
        <v>0</v>
      </c>
      <c r="J25" s="26">
        <f>J51-J27</f>
        <v>19654.430980000645</v>
      </c>
      <c r="K25" s="26">
        <f>K51+K90-K27</f>
        <v>461098.22000000067</v>
      </c>
      <c r="L25" s="26">
        <f>L51+L90-L27</f>
        <v>29386.14000000013</v>
      </c>
      <c r="M25" s="26">
        <f>M51-M27</f>
        <v>22242.489999999874</v>
      </c>
      <c r="N25" s="26">
        <f>N51+N90-N27</f>
        <v>245304.32</v>
      </c>
      <c r="O25" s="26">
        <f>O51-O27</f>
        <v>0</v>
      </c>
      <c r="Q25" s="80">
        <f>H25-777685.6</f>
        <v>0.0009800012921914458</v>
      </c>
      <c r="R25" s="80">
        <f>N25+M25</f>
        <v>267546.8099999999</v>
      </c>
    </row>
    <row r="26" spans="1:15" ht="40.5" customHeight="1">
      <c r="A26" s="282" t="s">
        <v>272</v>
      </c>
      <c r="B26" s="282"/>
      <c r="C26" s="282"/>
      <c r="D26" s="282"/>
      <c r="E26" s="19" t="s">
        <v>146</v>
      </c>
      <c r="F26" s="32" t="s">
        <v>6</v>
      </c>
      <c r="G26" s="32" t="s">
        <v>6</v>
      </c>
      <c r="H26" s="71">
        <f>I26+J26+K26+L26+M26+N26</f>
        <v>0</v>
      </c>
      <c r="I26" s="26"/>
      <c r="J26" s="26"/>
      <c r="K26" s="26"/>
      <c r="L26" s="26"/>
      <c r="M26" s="26"/>
      <c r="N26" s="26"/>
      <c r="O26" s="26"/>
    </row>
    <row r="27" spans="1:15" ht="40.5" customHeight="1">
      <c r="A27" s="304" t="s">
        <v>289</v>
      </c>
      <c r="B27" s="305"/>
      <c r="C27" s="305"/>
      <c r="D27" s="306"/>
      <c r="E27" s="73" t="s">
        <v>290</v>
      </c>
      <c r="F27" s="73"/>
      <c r="G27" s="73" t="s">
        <v>117</v>
      </c>
      <c r="H27" s="71">
        <f>I27+J27+K27+L27+M27+N27</f>
        <v>56934718.410000004</v>
      </c>
      <c r="I27" s="71">
        <f>I30</f>
        <v>37677000</v>
      </c>
      <c r="J27" s="71">
        <f>J30</f>
        <v>5420757</v>
      </c>
      <c r="K27" s="71">
        <f>K42+K44</f>
        <v>9688870.75</v>
      </c>
      <c r="L27" s="72">
        <f>L42+L44</f>
        <v>3265374.85</v>
      </c>
      <c r="M27" s="71">
        <f>M30+M28+M47+M33+M86</f>
        <v>862715.81</v>
      </c>
      <c r="N27" s="71">
        <f>N28+N31+N32+N33+N34+N35+N36</f>
        <v>20000</v>
      </c>
      <c r="O27" s="71">
        <v>0</v>
      </c>
    </row>
    <row r="28" spans="1:15" ht="40.5" customHeight="1">
      <c r="A28" s="292" t="s">
        <v>291</v>
      </c>
      <c r="B28" s="293"/>
      <c r="C28" s="293"/>
      <c r="D28" s="294"/>
      <c r="E28" s="32" t="s">
        <v>293</v>
      </c>
      <c r="F28" s="32"/>
      <c r="G28" s="32" t="s">
        <v>292</v>
      </c>
      <c r="H28" s="71">
        <f>I28+J28+K28+L28+M28+N28+O28</f>
        <v>338101.81</v>
      </c>
      <c r="I28" s="33"/>
      <c r="J28" s="33"/>
      <c r="K28" s="33"/>
      <c r="L28" s="67"/>
      <c r="M28" s="33">
        <f>M29</f>
        <v>338101.81</v>
      </c>
      <c r="N28" s="33"/>
      <c r="O28" s="36"/>
    </row>
    <row r="29" spans="1:15" ht="40.5" customHeight="1">
      <c r="A29" s="292" t="s">
        <v>7</v>
      </c>
      <c r="B29" s="293"/>
      <c r="C29" s="293"/>
      <c r="D29" s="294"/>
      <c r="E29" s="32" t="s">
        <v>294</v>
      </c>
      <c r="F29" s="32"/>
      <c r="G29" s="32" t="s">
        <v>292</v>
      </c>
      <c r="H29" s="71">
        <f>M29</f>
        <v>338101.81</v>
      </c>
      <c r="I29" s="33"/>
      <c r="J29" s="33"/>
      <c r="K29" s="33"/>
      <c r="L29" s="67"/>
      <c r="M29" s="33">
        <f>300260+38410.82-569.01</f>
        <v>338101.81</v>
      </c>
      <c r="N29" s="33"/>
      <c r="O29" s="36"/>
    </row>
    <row r="30" spans="1:19" s="35" customFormat="1" ht="47.25" customHeight="1">
      <c r="A30" s="286" t="s">
        <v>8</v>
      </c>
      <c r="B30" s="286"/>
      <c r="C30" s="286"/>
      <c r="D30" s="286"/>
      <c r="E30" s="32" t="s">
        <v>9</v>
      </c>
      <c r="F30" s="32" t="s">
        <v>10</v>
      </c>
      <c r="G30" s="36"/>
      <c r="H30" s="71">
        <f>I30+J30+K30+L30+M30+N30+O30</f>
        <v>43097757</v>
      </c>
      <c r="I30" s="33">
        <f>I31</f>
        <v>37677000</v>
      </c>
      <c r="J30" s="33">
        <f>J31</f>
        <v>5420757</v>
      </c>
      <c r="K30" s="33"/>
      <c r="L30" s="67"/>
      <c r="M30" s="33"/>
      <c r="N30" s="33"/>
      <c r="O30" s="33"/>
      <c r="P30" s="34"/>
      <c r="Q30" s="128">
        <f>H28+H30+H34+H36+H40+H45+H33</f>
        <v>56950104.410000004</v>
      </c>
      <c r="R30" s="128">
        <f>H27-Q30</f>
        <v>-15386</v>
      </c>
      <c r="S30" s="34"/>
    </row>
    <row r="31" spans="1:17" s="35" customFormat="1" ht="114.75" customHeight="1">
      <c r="A31" s="286" t="s">
        <v>11</v>
      </c>
      <c r="B31" s="286"/>
      <c r="C31" s="286"/>
      <c r="D31" s="286"/>
      <c r="E31" s="32" t="s">
        <v>12</v>
      </c>
      <c r="F31" s="32" t="s">
        <v>10</v>
      </c>
      <c r="G31" s="36">
        <v>131</v>
      </c>
      <c r="H31" s="71">
        <f>I31+J31+K31+L31+M31+N31</f>
        <v>43097757</v>
      </c>
      <c r="I31" s="33">
        <v>37677000</v>
      </c>
      <c r="J31" s="33">
        <f>4804392+18765+338600+181000+18000+41000+19000</f>
        <v>5420757</v>
      </c>
      <c r="K31" s="33"/>
      <c r="L31" s="38"/>
      <c r="M31" s="33"/>
      <c r="N31" s="33"/>
      <c r="O31" s="33"/>
      <c r="P31" s="34"/>
      <c r="Q31" s="174">
        <f>I31+J31+K42+L42</f>
        <v>56052002.6</v>
      </c>
    </row>
    <row r="32" spans="1:16" s="35" customFormat="1" ht="94.5" customHeight="1">
      <c r="A32" s="286" t="s">
        <v>14</v>
      </c>
      <c r="B32" s="286"/>
      <c r="C32" s="286"/>
      <c r="D32" s="286"/>
      <c r="E32" s="32" t="s">
        <v>13</v>
      </c>
      <c r="F32" s="32" t="s">
        <v>10</v>
      </c>
      <c r="G32" s="36">
        <v>131</v>
      </c>
      <c r="H32" s="71">
        <f>I32+J32+K32+L32+M32+N32</f>
        <v>0</v>
      </c>
      <c r="I32" s="33"/>
      <c r="J32" s="33"/>
      <c r="K32" s="33"/>
      <c r="L32" s="38"/>
      <c r="M32" s="33"/>
      <c r="N32" s="33"/>
      <c r="O32" s="33"/>
      <c r="P32" s="34"/>
    </row>
    <row r="33" spans="1:16" s="35" customFormat="1" ht="18.75">
      <c r="A33" s="287" t="s">
        <v>277</v>
      </c>
      <c r="B33" s="287"/>
      <c r="C33" s="287"/>
      <c r="D33" s="287"/>
      <c r="E33" s="32" t="s">
        <v>275</v>
      </c>
      <c r="F33" s="32" t="s">
        <v>10</v>
      </c>
      <c r="G33" s="36">
        <v>131</v>
      </c>
      <c r="H33" s="71">
        <f aca="true" t="shared" si="0" ref="H33:H91">I33+J33+K33+L33+M33+N33</f>
        <v>540000</v>
      </c>
      <c r="I33" s="33"/>
      <c r="J33" s="33"/>
      <c r="K33" s="33"/>
      <c r="L33" s="38"/>
      <c r="M33" s="33">
        <f>540000</f>
        <v>540000</v>
      </c>
      <c r="N33" s="33"/>
      <c r="O33" s="33"/>
      <c r="P33" s="34"/>
    </row>
    <row r="34" spans="1:16" s="35" customFormat="1" ht="41.25" customHeight="1">
      <c r="A34" s="286" t="s">
        <v>15</v>
      </c>
      <c r="B34" s="286"/>
      <c r="C34" s="286"/>
      <c r="D34" s="286"/>
      <c r="E34" s="32" t="s">
        <v>16</v>
      </c>
      <c r="F34" s="32" t="s">
        <v>17</v>
      </c>
      <c r="G34" s="36">
        <v>141</v>
      </c>
      <c r="H34" s="71">
        <f t="shared" si="0"/>
        <v>0</v>
      </c>
      <c r="I34" s="33"/>
      <c r="J34" s="33"/>
      <c r="K34" s="33"/>
      <c r="L34" s="38"/>
      <c r="M34" s="33"/>
      <c r="N34" s="33"/>
      <c r="O34" s="33"/>
      <c r="P34" s="34"/>
    </row>
    <row r="35" spans="1:16" s="35" customFormat="1" ht="22.5" customHeight="1">
      <c r="A35" s="287" t="s">
        <v>7</v>
      </c>
      <c r="B35" s="287"/>
      <c r="C35" s="287"/>
      <c r="D35" s="287"/>
      <c r="E35" s="32" t="s">
        <v>18</v>
      </c>
      <c r="F35" s="32" t="s">
        <v>17</v>
      </c>
      <c r="G35" s="36"/>
      <c r="H35" s="71">
        <f t="shared" si="0"/>
        <v>0</v>
      </c>
      <c r="I35" s="33"/>
      <c r="J35" s="68"/>
      <c r="K35" s="68"/>
      <c r="L35" s="38"/>
      <c r="M35" s="68"/>
      <c r="N35" s="68"/>
      <c r="O35" s="33"/>
      <c r="P35" s="34"/>
    </row>
    <row r="36" spans="1:16" s="37" customFormat="1" ht="39.75" customHeight="1">
      <c r="A36" s="286" t="s">
        <v>19</v>
      </c>
      <c r="B36" s="286"/>
      <c r="C36" s="286"/>
      <c r="D36" s="286"/>
      <c r="E36" s="32" t="s">
        <v>20</v>
      </c>
      <c r="F36" s="32" t="s">
        <v>21</v>
      </c>
      <c r="G36" s="36">
        <v>155</v>
      </c>
      <c r="H36" s="71">
        <f>I36+J36+K36+L36+M36+N36</f>
        <v>20000</v>
      </c>
      <c r="I36" s="33"/>
      <c r="J36" s="33"/>
      <c r="K36" s="33"/>
      <c r="L36" s="38"/>
      <c r="M36" s="33"/>
      <c r="N36" s="33">
        <f>N38+N39</f>
        <v>20000</v>
      </c>
      <c r="O36" s="33"/>
      <c r="P36" s="34"/>
    </row>
    <row r="37" spans="1:16" s="37" customFormat="1" ht="22.5" customHeight="1">
      <c r="A37" s="287" t="s">
        <v>7</v>
      </c>
      <c r="B37" s="287"/>
      <c r="C37" s="287"/>
      <c r="D37" s="287"/>
      <c r="E37" s="32"/>
      <c r="F37" s="32"/>
      <c r="G37" s="36"/>
      <c r="H37" s="71">
        <f t="shared" si="0"/>
        <v>0</v>
      </c>
      <c r="I37" s="33"/>
      <c r="J37" s="68"/>
      <c r="K37" s="68"/>
      <c r="L37" s="38"/>
      <c r="M37" s="68"/>
      <c r="N37" s="67"/>
      <c r="O37" s="33"/>
      <c r="P37" s="34"/>
    </row>
    <row r="38" spans="1:16" s="37" customFormat="1" ht="24.75" customHeight="1">
      <c r="A38" s="287" t="s">
        <v>268</v>
      </c>
      <c r="B38" s="287"/>
      <c r="C38" s="287"/>
      <c r="D38" s="287"/>
      <c r="E38" s="32" t="s">
        <v>273</v>
      </c>
      <c r="F38" s="32" t="s">
        <v>21</v>
      </c>
      <c r="G38" s="36">
        <v>155</v>
      </c>
      <c r="H38" s="71">
        <f>I38+J38+K38+L38+M38+N38</f>
        <v>20000</v>
      </c>
      <c r="I38" s="68"/>
      <c r="J38" s="68"/>
      <c r="K38" s="68"/>
      <c r="L38" s="38"/>
      <c r="M38" s="67"/>
      <c r="N38" s="67">
        <f>50000-30000</f>
        <v>20000</v>
      </c>
      <c r="O38" s="68"/>
      <c r="P38" s="34"/>
    </row>
    <row r="39" spans="1:16" s="37" customFormat="1" ht="24.75" customHeight="1">
      <c r="A39" s="287" t="s">
        <v>331</v>
      </c>
      <c r="B39" s="287"/>
      <c r="C39" s="287"/>
      <c r="D39" s="287"/>
      <c r="E39" s="32" t="s">
        <v>332</v>
      </c>
      <c r="F39" s="32" t="s">
        <v>21</v>
      </c>
      <c r="G39" s="36">
        <v>155</v>
      </c>
      <c r="H39" s="71">
        <f>I39+J39+K39+L39+M39+N39</f>
        <v>0</v>
      </c>
      <c r="I39" s="68"/>
      <c r="J39" s="68"/>
      <c r="K39" s="68"/>
      <c r="L39" s="38"/>
      <c r="M39" s="67"/>
      <c r="N39" s="67"/>
      <c r="O39" s="68"/>
      <c r="P39" s="34"/>
    </row>
    <row r="40" spans="1:16" s="37" customFormat="1" ht="21" customHeight="1">
      <c r="A40" s="286" t="s">
        <v>22</v>
      </c>
      <c r="B40" s="286"/>
      <c r="C40" s="286"/>
      <c r="D40" s="286"/>
      <c r="E40" s="32" t="s">
        <v>23</v>
      </c>
      <c r="F40" s="32" t="s">
        <v>24</v>
      </c>
      <c r="G40" s="36"/>
      <c r="H40" s="71">
        <f t="shared" si="0"/>
        <v>12954245.6</v>
      </c>
      <c r="I40" s="33"/>
      <c r="J40" s="33"/>
      <c r="K40" s="33">
        <f>K42+K44</f>
        <v>9688870.75</v>
      </c>
      <c r="L40" s="67">
        <f>L42+L44</f>
        <v>3265374.85</v>
      </c>
      <c r="M40" s="67"/>
      <c r="N40" s="33"/>
      <c r="O40" s="33"/>
      <c r="P40" s="34"/>
    </row>
    <row r="41" spans="1:16" s="37" customFormat="1" ht="22.5" customHeight="1">
      <c r="A41" s="287" t="s">
        <v>7</v>
      </c>
      <c r="B41" s="287"/>
      <c r="C41" s="287"/>
      <c r="D41" s="287"/>
      <c r="E41" s="32" t="s">
        <v>26</v>
      </c>
      <c r="F41" s="32" t="s">
        <v>24</v>
      </c>
      <c r="G41" s="36"/>
      <c r="H41" s="71">
        <f t="shared" si="0"/>
        <v>0</v>
      </c>
      <c r="I41" s="33"/>
      <c r="J41" s="68"/>
      <c r="K41" s="67"/>
      <c r="L41" s="67"/>
      <c r="M41" s="67"/>
      <c r="N41" s="68"/>
      <c r="O41" s="33"/>
      <c r="P41" s="34"/>
    </row>
    <row r="42" spans="1:17" s="37" customFormat="1" ht="25.5" customHeight="1">
      <c r="A42" s="287" t="s">
        <v>25</v>
      </c>
      <c r="B42" s="287"/>
      <c r="C42" s="287"/>
      <c r="D42" s="287"/>
      <c r="E42" s="32" t="s">
        <v>28</v>
      </c>
      <c r="F42" s="32" t="s">
        <v>24</v>
      </c>
      <c r="G42" s="36">
        <v>152</v>
      </c>
      <c r="H42" s="71">
        <f>I42+J42+K42+L42+M42+N42</f>
        <v>12954245.6</v>
      </c>
      <c r="I42" s="68"/>
      <c r="J42" s="68"/>
      <c r="K42" s="194">
        <f>9288100+254953.46-200000+1329100+300000-547760+53560-495560+55120-8000-276249.21+31467.28-95860.78</f>
        <v>9688870.75</v>
      </c>
      <c r="L42" s="67">
        <f>1979700+669100+184450-189570.15+854700-49600-50000+23278.7+169000-396150-120167.7-80550-65600+12730-56229-36357+416640</f>
        <v>3265374.85</v>
      </c>
      <c r="M42" s="67"/>
      <c r="N42" s="68"/>
      <c r="O42" s="68"/>
      <c r="P42" s="34"/>
      <c r="Q42" s="66"/>
    </row>
    <row r="43" spans="1:17" s="37" customFormat="1" ht="25.5" customHeight="1" hidden="1">
      <c r="A43" s="289" t="s">
        <v>274</v>
      </c>
      <c r="B43" s="290"/>
      <c r="C43" s="290"/>
      <c r="D43" s="291"/>
      <c r="E43" s="32"/>
      <c r="F43" s="32" t="s">
        <v>24</v>
      </c>
      <c r="G43" s="36"/>
      <c r="H43" s="71">
        <f>I43+J43+K43+L43+M43+N43</f>
        <v>0</v>
      </c>
      <c r="I43" s="68"/>
      <c r="J43" s="68"/>
      <c r="K43" s="194"/>
      <c r="L43" s="67"/>
      <c r="M43" s="67"/>
      <c r="N43" s="67"/>
      <c r="O43" s="68"/>
      <c r="P43" s="34"/>
      <c r="Q43" s="66"/>
    </row>
    <row r="44" spans="1:16" s="37" customFormat="1" ht="48.75" customHeight="1">
      <c r="A44" s="286" t="s">
        <v>27</v>
      </c>
      <c r="B44" s="286"/>
      <c r="C44" s="286"/>
      <c r="D44" s="286"/>
      <c r="E44" s="32" t="s">
        <v>367</v>
      </c>
      <c r="F44" s="32" t="s">
        <v>24</v>
      </c>
      <c r="G44" s="36">
        <v>162</v>
      </c>
      <c r="H44" s="71">
        <f>I44+J44+K44+L44+M44+N44</f>
        <v>0</v>
      </c>
      <c r="I44" s="33"/>
      <c r="J44" s="33"/>
      <c r="K44" s="33">
        <f>2323300-2323300</f>
        <v>0</v>
      </c>
      <c r="L44" s="67">
        <f>148400-148400</f>
        <v>0</v>
      </c>
      <c r="M44" s="33"/>
      <c r="N44" s="33"/>
      <c r="O44" s="33"/>
      <c r="P44" s="34"/>
    </row>
    <row r="45" spans="1:16" s="37" customFormat="1" ht="36.75" customHeight="1">
      <c r="A45" s="286" t="s">
        <v>29</v>
      </c>
      <c r="B45" s="286"/>
      <c r="C45" s="286"/>
      <c r="D45" s="286"/>
      <c r="E45" s="32" t="s">
        <v>30</v>
      </c>
      <c r="F45" s="32"/>
      <c r="G45" s="36"/>
      <c r="H45" s="71">
        <f t="shared" si="0"/>
        <v>0</v>
      </c>
      <c r="I45" s="33"/>
      <c r="J45" s="33"/>
      <c r="K45" s="33"/>
      <c r="L45" s="38"/>
      <c r="M45" s="33">
        <f>M46+M47</f>
        <v>0</v>
      </c>
      <c r="N45" s="33"/>
      <c r="O45" s="33"/>
      <c r="P45" s="34"/>
    </row>
    <row r="46" spans="1:16" s="37" customFormat="1" ht="23.25" customHeight="1">
      <c r="A46" s="287" t="s">
        <v>7</v>
      </c>
      <c r="B46" s="287"/>
      <c r="C46" s="287"/>
      <c r="D46" s="287"/>
      <c r="E46" s="32" t="s">
        <v>365</v>
      </c>
      <c r="F46" s="32"/>
      <c r="G46" s="36"/>
      <c r="H46" s="71">
        <f t="shared" si="0"/>
        <v>0</v>
      </c>
      <c r="I46" s="33"/>
      <c r="J46" s="68"/>
      <c r="K46" s="68"/>
      <c r="L46" s="38"/>
      <c r="M46" s="68"/>
      <c r="N46" s="68"/>
      <c r="O46" s="33"/>
      <c r="P46" s="34"/>
    </row>
    <row r="47" spans="1:16" s="37" customFormat="1" ht="19.5">
      <c r="A47" s="287" t="s">
        <v>328</v>
      </c>
      <c r="B47" s="287"/>
      <c r="C47" s="287"/>
      <c r="D47" s="287"/>
      <c r="E47" s="32" t="s">
        <v>366</v>
      </c>
      <c r="F47" s="32"/>
      <c r="G47" s="38">
        <v>446</v>
      </c>
      <c r="H47" s="71">
        <f t="shared" si="0"/>
        <v>0</v>
      </c>
      <c r="I47" s="68"/>
      <c r="J47" s="68"/>
      <c r="K47" s="68"/>
      <c r="L47" s="38"/>
      <c r="M47" s="67"/>
      <c r="N47" s="68"/>
      <c r="O47" s="68"/>
      <c r="P47" s="34"/>
    </row>
    <row r="48" spans="1:16" s="37" customFormat="1" ht="22.5" customHeight="1">
      <c r="A48" s="286" t="s">
        <v>131</v>
      </c>
      <c r="B48" s="286"/>
      <c r="C48" s="286"/>
      <c r="D48" s="286"/>
      <c r="E48" s="32" t="s">
        <v>31</v>
      </c>
      <c r="F48" s="32" t="s">
        <v>6</v>
      </c>
      <c r="G48" s="36"/>
      <c r="H48" s="71">
        <f t="shared" si="0"/>
        <v>0</v>
      </c>
      <c r="I48" s="33"/>
      <c r="J48" s="33"/>
      <c r="K48" s="33"/>
      <c r="L48" s="38"/>
      <c r="M48" s="33"/>
      <c r="N48" s="33"/>
      <c r="O48" s="33"/>
      <c r="P48" s="34"/>
    </row>
    <row r="49" spans="1:16" s="37" customFormat="1" ht="78" customHeight="1">
      <c r="A49" s="286" t="s">
        <v>32</v>
      </c>
      <c r="B49" s="286"/>
      <c r="C49" s="286"/>
      <c r="D49" s="286"/>
      <c r="E49" s="32" t="s">
        <v>33</v>
      </c>
      <c r="F49" s="32" t="s">
        <v>34</v>
      </c>
      <c r="G49" s="36"/>
      <c r="H49" s="71">
        <f t="shared" si="0"/>
        <v>0</v>
      </c>
      <c r="I49" s="33"/>
      <c r="J49" s="33"/>
      <c r="K49" s="33"/>
      <c r="L49" s="38"/>
      <c r="M49" s="33"/>
      <c r="N49" s="33"/>
      <c r="O49" s="38" t="s">
        <v>6</v>
      </c>
      <c r="P49" s="34"/>
    </row>
    <row r="50" spans="1:16" s="37" customFormat="1" ht="19.5" customHeight="1">
      <c r="A50" s="286"/>
      <c r="B50" s="286"/>
      <c r="C50" s="286"/>
      <c r="D50" s="286"/>
      <c r="E50" s="32"/>
      <c r="F50" s="32"/>
      <c r="G50" s="36"/>
      <c r="H50" s="71">
        <f t="shared" si="0"/>
        <v>0</v>
      </c>
      <c r="I50" s="33"/>
      <c r="J50" s="33"/>
      <c r="K50" s="33"/>
      <c r="L50" s="38"/>
      <c r="M50" s="33"/>
      <c r="N50" s="33"/>
      <c r="O50" s="38"/>
      <c r="P50" s="34"/>
    </row>
    <row r="51" spans="1:17" s="37" customFormat="1" ht="24" customHeight="1">
      <c r="A51" s="288" t="s">
        <v>35</v>
      </c>
      <c r="B51" s="288"/>
      <c r="C51" s="288"/>
      <c r="D51" s="288"/>
      <c r="E51" s="75" t="s">
        <v>36</v>
      </c>
      <c r="F51" s="75" t="s">
        <v>6</v>
      </c>
      <c r="G51" s="74"/>
      <c r="H51" s="71">
        <f>I51+J51+K51+L51+M51+N51</f>
        <v>56997099.46098</v>
      </c>
      <c r="I51" s="71">
        <f>I52+I76</f>
        <v>37677000</v>
      </c>
      <c r="J51" s="71">
        <f>J52+J76+J66</f>
        <v>5440411.430980001</v>
      </c>
      <c r="K51" s="71">
        <f>K52+K76+K66</f>
        <v>9688870.75</v>
      </c>
      <c r="L51" s="71">
        <f>L52+L76+L66+L60</f>
        <v>3265374.85</v>
      </c>
      <c r="M51" s="71">
        <f>M52+M76+M66</f>
        <v>884958.2999999999</v>
      </c>
      <c r="N51" s="71">
        <f>N52+N76+N66</f>
        <v>40484.13</v>
      </c>
      <c r="O51" s="76"/>
      <c r="P51" s="34"/>
      <c r="Q51" s="129">
        <f>H51-H27</f>
        <v>62381.05097999424</v>
      </c>
    </row>
    <row r="52" spans="1:16" s="37" customFormat="1" ht="45.75" customHeight="1">
      <c r="A52" s="286" t="s">
        <v>37</v>
      </c>
      <c r="B52" s="286"/>
      <c r="C52" s="286"/>
      <c r="D52" s="286"/>
      <c r="E52" s="32" t="s">
        <v>38</v>
      </c>
      <c r="F52" s="32" t="s">
        <v>6</v>
      </c>
      <c r="G52" s="39"/>
      <c r="H52" s="71">
        <f>I52+J52+K52+L52+M52+N52</f>
        <v>40950568.349999994</v>
      </c>
      <c r="I52" s="33">
        <f>I53+I54+I56</f>
        <v>36409035.62</v>
      </c>
      <c r="J52" s="33">
        <f>J53+J56</f>
        <v>698018.4</v>
      </c>
      <c r="K52" s="33">
        <f>K53+K56+K54+K55</f>
        <v>3350494.72</v>
      </c>
      <c r="L52" s="33">
        <f>L53+L56+L54</f>
        <v>464194.85</v>
      </c>
      <c r="M52" s="33">
        <f>M53+M56+M54</f>
        <v>0</v>
      </c>
      <c r="N52" s="33">
        <f>N53+N56</f>
        <v>28824.759999999995</v>
      </c>
      <c r="O52" s="38" t="s">
        <v>6</v>
      </c>
      <c r="P52" s="34"/>
    </row>
    <row r="53" spans="1:16" s="37" customFormat="1" ht="41.25" customHeight="1">
      <c r="A53" s="286" t="s">
        <v>39</v>
      </c>
      <c r="B53" s="286"/>
      <c r="C53" s="286"/>
      <c r="D53" s="286"/>
      <c r="E53" s="32" t="s">
        <v>40</v>
      </c>
      <c r="F53" s="32" t="s">
        <v>41</v>
      </c>
      <c r="G53" s="81">
        <v>211.266</v>
      </c>
      <c r="H53" s="71">
        <f>I53+J53+N53</f>
        <v>28511031.169999998</v>
      </c>
      <c r="I53" s="33">
        <f>J469</f>
        <v>27952792.34</v>
      </c>
      <c r="J53" s="33">
        <f>J562</f>
        <v>536100</v>
      </c>
      <c r="K53" s="33">
        <f>J923</f>
        <v>2460000</v>
      </c>
      <c r="L53" s="67">
        <f>J992</f>
        <v>36523.71000000001</v>
      </c>
      <c r="M53" s="33"/>
      <c r="N53" s="33">
        <f>J848</f>
        <v>22138.829999999994</v>
      </c>
      <c r="O53" s="38" t="s">
        <v>6</v>
      </c>
      <c r="P53" s="34"/>
    </row>
    <row r="54" spans="1:16" s="37" customFormat="1" ht="40.5" customHeight="1">
      <c r="A54" s="286" t="s">
        <v>42</v>
      </c>
      <c r="B54" s="286"/>
      <c r="C54" s="286"/>
      <c r="D54" s="286"/>
      <c r="E54" s="32" t="s">
        <v>43</v>
      </c>
      <c r="F54" s="32" t="s">
        <v>44</v>
      </c>
      <c r="G54" s="36" t="s">
        <v>325</v>
      </c>
      <c r="H54" s="71">
        <f t="shared" si="0"/>
        <v>334500</v>
      </c>
      <c r="I54" s="33">
        <f>K497+J490+J483</f>
        <v>14500</v>
      </c>
      <c r="J54" s="33"/>
      <c r="K54" s="33"/>
      <c r="L54" s="67">
        <f>K999</f>
        <v>320000</v>
      </c>
      <c r="M54" s="33"/>
      <c r="N54" s="33"/>
      <c r="O54" s="38" t="s">
        <v>6</v>
      </c>
      <c r="P54" s="34"/>
    </row>
    <row r="55" spans="1:16" s="37" customFormat="1" ht="63.75" customHeight="1">
      <c r="A55" s="286" t="s">
        <v>45</v>
      </c>
      <c r="B55" s="286"/>
      <c r="C55" s="286"/>
      <c r="D55" s="286"/>
      <c r="E55" s="32" t="s">
        <v>46</v>
      </c>
      <c r="F55" s="32" t="s">
        <v>47</v>
      </c>
      <c r="G55" s="36"/>
      <c r="H55" s="71">
        <f t="shared" si="0"/>
        <v>147594.72</v>
      </c>
      <c r="I55" s="33"/>
      <c r="J55" s="33"/>
      <c r="K55" s="33">
        <f>J938</f>
        <v>147594.72</v>
      </c>
      <c r="L55" s="38"/>
      <c r="M55" s="33"/>
      <c r="N55" s="33"/>
      <c r="O55" s="38" t="s">
        <v>6</v>
      </c>
      <c r="P55" s="34"/>
    </row>
    <row r="56" spans="1:16" s="37" customFormat="1" ht="82.5" customHeight="1">
      <c r="A56" s="286" t="s">
        <v>48</v>
      </c>
      <c r="B56" s="286"/>
      <c r="C56" s="286"/>
      <c r="D56" s="286"/>
      <c r="E56" s="32" t="s">
        <v>49</v>
      </c>
      <c r="F56" s="32" t="s">
        <v>50</v>
      </c>
      <c r="G56" s="36">
        <v>213</v>
      </c>
      <c r="H56" s="71">
        <f t="shared" si="0"/>
        <v>9460918.75</v>
      </c>
      <c r="I56" s="33">
        <f>I476</f>
        <v>8441743.28</v>
      </c>
      <c r="J56" s="33">
        <f>I591</f>
        <v>161918.4</v>
      </c>
      <c r="K56" s="33">
        <f>I931</f>
        <v>742900</v>
      </c>
      <c r="L56" s="67">
        <f>L57+L58</f>
        <v>107671.14</v>
      </c>
      <c r="M56" s="33"/>
      <c r="N56" s="33">
        <f>I856</f>
        <v>6685.929999999999</v>
      </c>
      <c r="O56" s="38" t="s">
        <v>6</v>
      </c>
      <c r="P56" s="34"/>
    </row>
    <row r="57" spans="1:16" s="7" customFormat="1" ht="38.25" customHeight="1">
      <c r="A57" s="282" t="s">
        <v>51</v>
      </c>
      <c r="B57" s="282"/>
      <c r="C57" s="282"/>
      <c r="D57" s="282"/>
      <c r="E57" s="19" t="s">
        <v>52</v>
      </c>
      <c r="F57" s="19" t="s">
        <v>50</v>
      </c>
      <c r="G57" s="23">
        <v>213</v>
      </c>
      <c r="H57" s="71">
        <f t="shared" si="0"/>
        <v>11031.14</v>
      </c>
      <c r="I57" s="26"/>
      <c r="J57" s="26"/>
      <c r="K57" s="26"/>
      <c r="L57" s="69">
        <f>I1005</f>
        <v>11031.14</v>
      </c>
      <c r="M57" s="26"/>
      <c r="N57" s="26"/>
      <c r="O57" s="22" t="s">
        <v>6</v>
      </c>
      <c r="P57" s="8"/>
    </row>
    <row r="58" spans="1:16" s="7" customFormat="1" ht="31.5" customHeight="1">
      <c r="A58" s="282" t="s">
        <v>53</v>
      </c>
      <c r="B58" s="282"/>
      <c r="C58" s="282"/>
      <c r="D58" s="282"/>
      <c r="E58" s="19" t="s">
        <v>54</v>
      </c>
      <c r="F58" s="19" t="s">
        <v>50</v>
      </c>
      <c r="G58" s="23">
        <v>213</v>
      </c>
      <c r="H58" s="71">
        <f t="shared" si="0"/>
        <v>96640</v>
      </c>
      <c r="I58" s="26"/>
      <c r="J58" s="26"/>
      <c r="K58" s="26"/>
      <c r="L58" s="69">
        <f>I1006</f>
        <v>96640</v>
      </c>
      <c r="M58" s="26"/>
      <c r="N58" s="26"/>
      <c r="O58" s="22" t="s">
        <v>6</v>
      </c>
      <c r="P58" s="8"/>
    </row>
    <row r="59" spans="1:16" s="7" customFormat="1" ht="84" customHeight="1">
      <c r="A59" s="282" t="s">
        <v>55</v>
      </c>
      <c r="B59" s="282"/>
      <c r="C59" s="282"/>
      <c r="D59" s="282"/>
      <c r="E59" s="19" t="s">
        <v>56</v>
      </c>
      <c r="F59" s="19" t="s">
        <v>57</v>
      </c>
      <c r="G59" s="23"/>
      <c r="H59" s="71">
        <f t="shared" si="0"/>
        <v>0</v>
      </c>
      <c r="I59" s="26"/>
      <c r="J59" s="26"/>
      <c r="K59" s="26"/>
      <c r="L59" s="22"/>
      <c r="M59" s="26"/>
      <c r="N59" s="26"/>
      <c r="O59" s="22" t="s">
        <v>6</v>
      </c>
      <c r="P59" s="8"/>
    </row>
    <row r="60" spans="1:16" s="7" customFormat="1" ht="50.25" customHeight="1">
      <c r="A60" s="282" t="s">
        <v>58</v>
      </c>
      <c r="B60" s="282"/>
      <c r="C60" s="282"/>
      <c r="D60" s="282"/>
      <c r="E60" s="19" t="s">
        <v>59</v>
      </c>
      <c r="F60" s="19" t="s">
        <v>60</v>
      </c>
      <c r="G60" s="23"/>
      <c r="H60" s="71">
        <f t="shared" si="0"/>
        <v>84500</v>
      </c>
      <c r="I60" s="26"/>
      <c r="J60" s="26"/>
      <c r="K60" s="26"/>
      <c r="L60" s="69">
        <f>L62</f>
        <v>84500</v>
      </c>
      <c r="M60" s="26"/>
      <c r="N60" s="26"/>
      <c r="O60" s="22" t="s">
        <v>6</v>
      </c>
      <c r="P60" s="8"/>
    </row>
    <row r="61" spans="1:16" s="7" customFormat="1" ht="80.25" customHeight="1">
      <c r="A61" s="282" t="s">
        <v>61</v>
      </c>
      <c r="B61" s="282"/>
      <c r="C61" s="282"/>
      <c r="D61" s="282"/>
      <c r="E61" s="19" t="s">
        <v>62</v>
      </c>
      <c r="F61" s="19" t="s">
        <v>63</v>
      </c>
      <c r="G61" s="23"/>
      <c r="H61" s="71">
        <f t="shared" si="0"/>
        <v>84500</v>
      </c>
      <c r="I61" s="26"/>
      <c r="J61" s="26"/>
      <c r="K61" s="26"/>
      <c r="L61" s="69">
        <f>L62</f>
        <v>84500</v>
      </c>
      <c r="M61" s="26"/>
      <c r="N61" s="26"/>
      <c r="O61" s="22" t="s">
        <v>6</v>
      </c>
      <c r="P61" s="8"/>
    </row>
    <row r="62" spans="1:16" s="7" customFormat="1" ht="86.25" customHeight="1">
      <c r="A62" s="282" t="s">
        <v>64</v>
      </c>
      <c r="B62" s="282"/>
      <c r="C62" s="282"/>
      <c r="D62" s="282"/>
      <c r="E62" s="19" t="s">
        <v>65</v>
      </c>
      <c r="F62" s="19" t="s">
        <v>66</v>
      </c>
      <c r="G62" s="23"/>
      <c r="H62" s="71">
        <f t="shared" si="0"/>
        <v>84500</v>
      </c>
      <c r="I62" s="26"/>
      <c r="J62" s="26"/>
      <c r="K62" s="26"/>
      <c r="L62" s="69">
        <f>H1108</f>
        <v>84500</v>
      </c>
      <c r="M62" s="26"/>
      <c r="N62" s="26"/>
      <c r="O62" s="22" t="s">
        <v>6</v>
      </c>
      <c r="P62" s="8"/>
    </row>
    <row r="63" spans="1:16" s="7" customFormat="1" ht="82.5" customHeight="1">
      <c r="A63" s="282" t="s">
        <v>67</v>
      </c>
      <c r="B63" s="282"/>
      <c r="C63" s="282"/>
      <c r="D63" s="282"/>
      <c r="E63" s="19" t="s">
        <v>68</v>
      </c>
      <c r="F63" s="19" t="s">
        <v>69</v>
      </c>
      <c r="G63" s="23"/>
      <c r="H63" s="71">
        <f t="shared" si="0"/>
        <v>0</v>
      </c>
      <c r="I63" s="26"/>
      <c r="J63" s="26"/>
      <c r="K63" s="26"/>
      <c r="L63" s="22"/>
      <c r="M63" s="26"/>
      <c r="N63" s="26"/>
      <c r="O63" s="22" t="s">
        <v>6</v>
      </c>
      <c r="P63" s="8"/>
    </row>
    <row r="64" spans="1:16" s="7" customFormat="1" ht="129" customHeight="1">
      <c r="A64" s="282" t="s">
        <v>70</v>
      </c>
      <c r="B64" s="282"/>
      <c r="C64" s="282"/>
      <c r="D64" s="282"/>
      <c r="E64" s="19" t="s">
        <v>71</v>
      </c>
      <c r="F64" s="19" t="s">
        <v>72</v>
      </c>
      <c r="G64" s="23"/>
      <c r="H64" s="71">
        <f t="shared" si="0"/>
        <v>0</v>
      </c>
      <c r="I64" s="26"/>
      <c r="J64" s="26"/>
      <c r="K64" s="26"/>
      <c r="L64" s="22"/>
      <c r="M64" s="26"/>
      <c r="N64" s="26"/>
      <c r="O64" s="22" t="s">
        <v>6</v>
      </c>
      <c r="P64" s="8"/>
    </row>
    <row r="65" spans="1:16" s="7" customFormat="1" ht="50.25" customHeight="1">
      <c r="A65" s="282" t="s">
        <v>355</v>
      </c>
      <c r="B65" s="282"/>
      <c r="C65" s="282"/>
      <c r="D65" s="282"/>
      <c r="E65" s="19" t="s">
        <v>356</v>
      </c>
      <c r="F65" s="19" t="s">
        <v>357</v>
      </c>
      <c r="G65" s="23"/>
      <c r="H65" s="71">
        <f>I65+J65+K65+L65+M65+N65</f>
        <v>0</v>
      </c>
      <c r="I65" s="26"/>
      <c r="J65" s="26"/>
      <c r="K65" s="26"/>
      <c r="L65" s="22"/>
      <c r="M65" s="26"/>
      <c r="N65" s="26"/>
      <c r="O65" s="22" t="s">
        <v>6</v>
      </c>
      <c r="P65" s="8"/>
    </row>
    <row r="66" spans="1:16" s="7" customFormat="1" ht="39" customHeight="1">
      <c r="A66" s="282" t="s">
        <v>73</v>
      </c>
      <c r="B66" s="282"/>
      <c r="C66" s="282"/>
      <c r="D66" s="282"/>
      <c r="E66" s="19" t="s">
        <v>74</v>
      </c>
      <c r="F66" s="19" t="s">
        <v>75</v>
      </c>
      <c r="G66" s="23"/>
      <c r="H66" s="71">
        <f t="shared" si="0"/>
        <v>370759.16</v>
      </c>
      <c r="I66" s="26"/>
      <c r="J66" s="26">
        <f>J67+J69+J68</f>
        <v>370759.16</v>
      </c>
      <c r="K66" s="26"/>
      <c r="L66" s="22"/>
      <c r="M66" s="26"/>
      <c r="N66" s="26"/>
      <c r="O66" s="22" t="s">
        <v>6</v>
      </c>
      <c r="P66" s="8"/>
    </row>
    <row r="67" spans="1:16" s="7" customFormat="1" ht="61.5" customHeight="1">
      <c r="A67" s="282" t="s">
        <v>76</v>
      </c>
      <c r="B67" s="282"/>
      <c r="C67" s="282"/>
      <c r="D67" s="282"/>
      <c r="E67" s="19" t="s">
        <v>77</v>
      </c>
      <c r="F67" s="19" t="s">
        <v>78</v>
      </c>
      <c r="G67" s="23">
        <v>290</v>
      </c>
      <c r="H67" s="71">
        <f t="shared" si="0"/>
        <v>358654.91</v>
      </c>
      <c r="I67" s="26"/>
      <c r="J67" s="26">
        <f>J716</f>
        <v>358654.91</v>
      </c>
      <c r="K67" s="26"/>
      <c r="L67" s="22"/>
      <c r="M67" s="26"/>
      <c r="N67" s="26"/>
      <c r="O67" s="22" t="s">
        <v>6</v>
      </c>
      <c r="P67" s="8"/>
    </row>
    <row r="68" spans="1:16" s="7" customFormat="1" ht="81.75" customHeight="1">
      <c r="A68" s="282" t="s">
        <v>79</v>
      </c>
      <c r="B68" s="282"/>
      <c r="C68" s="282"/>
      <c r="D68" s="282"/>
      <c r="E68" s="19" t="s">
        <v>80</v>
      </c>
      <c r="F68" s="19" t="s">
        <v>81</v>
      </c>
      <c r="G68" s="23">
        <v>290</v>
      </c>
      <c r="H68" s="71">
        <f t="shared" si="0"/>
        <v>0</v>
      </c>
      <c r="I68" s="26"/>
      <c r="J68" s="26"/>
      <c r="K68" s="26"/>
      <c r="L68" s="22"/>
      <c r="M68" s="26"/>
      <c r="N68" s="26"/>
      <c r="O68" s="22" t="s">
        <v>6</v>
      </c>
      <c r="P68" s="8"/>
    </row>
    <row r="69" spans="1:16" s="7" customFormat="1" ht="48" customHeight="1">
      <c r="A69" s="282" t="s">
        <v>82</v>
      </c>
      <c r="B69" s="282"/>
      <c r="C69" s="282"/>
      <c r="D69" s="282"/>
      <c r="E69" s="19" t="s">
        <v>83</v>
      </c>
      <c r="F69" s="19" t="s">
        <v>84</v>
      </c>
      <c r="G69" s="23">
        <v>290</v>
      </c>
      <c r="H69" s="71">
        <f t="shared" si="0"/>
        <v>12104.25</v>
      </c>
      <c r="I69" s="26"/>
      <c r="J69" s="26">
        <f>J724</f>
        <v>12104.25</v>
      </c>
      <c r="K69" s="26"/>
      <c r="L69" s="22"/>
      <c r="M69" s="26"/>
      <c r="N69" s="26"/>
      <c r="O69" s="22" t="s">
        <v>6</v>
      </c>
      <c r="P69" s="8"/>
    </row>
    <row r="70" spans="1:16" s="7" customFormat="1" ht="44.25" customHeight="1">
      <c r="A70" s="282" t="s">
        <v>85</v>
      </c>
      <c r="B70" s="282"/>
      <c r="C70" s="282"/>
      <c r="D70" s="282"/>
      <c r="E70" s="19" t="s">
        <v>86</v>
      </c>
      <c r="F70" s="19" t="s">
        <v>6</v>
      </c>
      <c r="G70" s="23"/>
      <c r="H70" s="71">
        <f t="shared" si="0"/>
        <v>0</v>
      </c>
      <c r="I70" s="26"/>
      <c r="J70" s="26"/>
      <c r="K70" s="26"/>
      <c r="L70" s="22"/>
      <c r="M70" s="26"/>
      <c r="N70" s="26"/>
      <c r="O70" s="22" t="s">
        <v>6</v>
      </c>
      <c r="P70" s="8"/>
    </row>
    <row r="71" spans="1:16" s="7" customFormat="1" ht="67.5" customHeight="1">
      <c r="A71" s="286" t="s">
        <v>87</v>
      </c>
      <c r="B71" s="286"/>
      <c r="C71" s="286"/>
      <c r="D71" s="286"/>
      <c r="E71" s="32" t="s">
        <v>88</v>
      </c>
      <c r="F71" s="32" t="s">
        <v>358</v>
      </c>
      <c r="G71" s="23"/>
      <c r="H71" s="71">
        <f t="shared" si="0"/>
        <v>0</v>
      </c>
      <c r="I71" s="26"/>
      <c r="J71" s="26"/>
      <c r="K71" s="26"/>
      <c r="L71" s="22"/>
      <c r="M71" s="26"/>
      <c r="N71" s="26"/>
      <c r="O71" s="22" t="s">
        <v>6</v>
      </c>
      <c r="P71" s="8"/>
    </row>
    <row r="72" spans="1:16" s="7" customFormat="1" ht="67.5" customHeight="1">
      <c r="A72" s="286" t="s">
        <v>362</v>
      </c>
      <c r="B72" s="286"/>
      <c r="C72" s="286"/>
      <c r="D72" s="286"/>
      <c r="E72" s="32" t="s">
        <v>363</v>
      </c>
      <c r="F72" s="32" t="s">
        <v>364</v>
      </c>
      <c r="G72" s="126"/>
      <c r="H72" s="71">
        <f t="shared" si="0"/>
        <v>0</v>
      </c>
      <c r="I72" s="127"/>
      <c r="J72" s="127"/>
      <c r="K72" s="127"/>
      <c r="L72" s="21"/>
      <c r="M72" s="127"/>
      <c r="N72" s="127"/>
      <c r="O72" s="22" t="s">
        <v>6</v>
      </c>
      <c r="P72" s="8"/>
    </row>
    <row r="73" spans="1:16" s="7" customFormat="1" ht="67.5" customHeight="1">
      <c r="A73" s="286" t="s">
        <v>359</v>
      </c>
      <c r="B73" s="286"/>
      <c r="C73" s="286"/>
      <c r="D73" s="286"/>
      <c r="E73" s="32" t="s">
        <v>360</v>
      </c>
      <c r="F73" s="32" t="s">
        <v>361</v>
      </c>
      <c r="G73" s="126"/>
      <c r="H73" s="71">
        <f t="shared" si="0"/>
        <v>0</v>
      </c>
      <c r="I73" s="127"/>
      <c r="J73" s="127"/>
      <c r="K73" s="127"/>
      <c r="L73" s="21"/>
      <c r="M73" s="127"/>
      <c r="N73" s="127"/>
      <c r="O73" s="22" t="s">
        <v>6</v>
      </c>
      <c r="P73" s="8"/>
    </row>
    <row r="74" spans="1:16" s="7" customFormat="1" ht="50.25" customHeight="1">
      <c r="A74" s="282" t="s">
        <v>89</v>
      </c>
      <c r="B74" s="282"/>
      <c r="C74" s="282"/>
      <c r="D74" s="282"/>
      <c r="E74" s="19" t="s">
        <v>90</v>
      </c>
      <c r="F74" s="19" t="s">
        <v>6</v>
      </c>
      <c r="G74" s="23"/>
      <c r="H74" s="71">
        <f t="shared" si="0"/>
        <v>0</v>
      </c>
      <c r="I74" s="26"/>
      <c r="J74" s="26"/>
      <c r="K74" s="26"/>
      <c r="L74" s="22"/>
      <c r="M74" s="26"/>
      <c r="N74" s="26"/>
      <c r="O74" s="22" t="s">
        <v>6</v>
      </c>
      <c r="P74" s="8"/>
    </row>
    <row r="75" spans="1:16" s="7" customFormat="1" ht="93.75" customHeight="1">
      <c r="A75" s="282" t="s">
        <v>91</v>
      </c>
      <c r="B75" s="282"/>
      <c r="C75" s="282"/>
      <c r="D75" s="282"/>
      <c r="E75" s="19" t="s">
        <v>92</v>
      </c>
      <c r="F75" s="19" t="s">
        <v>93</v>
      </c>
      <c r="G75" s="23"/>
      <c r="H75" s="71">
        <f t="shared" si="0"/>
        <v>0</v>
      </c>
      <c r="I75" s="26"/>
      <c r="J75" s="26"/>
      <c r="K75" s="26"/>
      <c r="L75" s="22"/>
      <c r="M75" s="26"/>
      <c r="N75" s="26"/>
      <c r="O75" s="22" t="s">
        <v>6</v>
      </c>
      <c r="P75" s="8"/>
    </row>
    <row r="76" spans="1:16" s="7" customFormat="1" ht="45" customHeight="1">
      <c r="A76" s="282" t="s">
        <v>132</v>
      </c>
      <c r="B76" s="282"/>
      <c r="C76" s="282"/>
      <c r="D76" s="282"/>
      <c r="E76" s="19" t="s">
        <v>94</v>
      </c>
      <c r="F76" s="19" t="s">
        <v>6</v>
      </c>
      <c r="G76" s="23"/>
      <c r="H76" s="71">
        <f>I76+J76+K76+L76+M76+N76</f>
        <v>15591271.95098</v>
      </c>
      <c r="I76" s="26">
        <f>I80</f>
        <v>1267964.3800000001</v>
      </c>
      <c r="J76" s="26">
        <f>J80+J79+J81</f>
        <v>4371633.87098</v>
      </c>
      <c r="K76" s="26">
        <f>K79+K80</f>
        <v>6338376.03</v>
      </c>
      <c r="L76" s="69">
        <f>L79+L80</f>
        <v>2716680</v>
      </c>
      <c r="M76" s="26">
        <f>M80</f>
        <v>884958.2999999999</v>
      </c>
      <c r="N76" s="26">
        <f>N80</f>
        <v>11659.37</v>
      </c>
      <c r="O76" s="26"/>
      <c r="P76" s="8"/>
    </row>
    <row r="77" spans="1:16" s="7" customFormat="1" ht="62.25" customHeight="1">
      <c r="A77" s="282" t="s">
        <v>95</v>
      </c>
      <c r="B77" s="282"/>
      <c r="C77" s="282"/>
      <c r="D77" s="282"/>
      <c r="E77" s="19" t="s">
        <v>96</v>
      </c>
      <c r="F77" s="19" t="s">
        <v>97</v>
      </c>
      <c r="G77" s="23"/>
      <c r="H77" s="71">
        <f t="shared" si="0"/>
        <v>0</v>
      </c>
      <c r="I77" s="26"/>
      <c r="J77" s="26"/>
      <c r="K77" s="26"/>
      <c r="L77" s="22"/>
      <c r="M77" s="26"/>
      <c r="N77" s="26"/>
      <c r="O77" s="26"/>
      <c r="P77" s="8"/>
    </row>
    <row r="78" spans="1:16" s="7" customFormat="1" ht="69" customHeight="1">
      <c r="A78" s="282" t="s">
        <v>98</v>
      </c>
      <c r="B78" s="282"/>
      <c r="C78" s="282"/>
      <c r="D78" s="282"/>
      <c r="E78" s="19" t="s">
        <v>99</v>
      </c>
      <c r="F78" s="19" t="s">
        <v>100</v>
      </c>
      <c r="G78" s="23"/>
      <c r="H78" s="71">
        <f t="shared" si="0"/>
        <v>0</v>
      </c>
      <c r="I78" s="26"/>
      <c r="J78" s="26"/>
      <c r="K78" s="26"/>
      <c r="L78" s="22"/>
      <c r="M78" s="26"/>
      <c r="N78" s="26"/>
      <c r="O78" s="26"/>
      <c r="P78" s="8"/>
    </row>
    <row r="79" spans="1:15" ht="70.5" customHeight="1">
      <c r="A79" s="282" t="s">
        <v>101</v>
      </c>
      <c r="B79" s="282"/>
      <c r="C79" s="282"/>
      <c r="D79" s="282"/>
      <c r="E79" s="19" t="s">
        <v>102</v>
      </c>
      <c r="F79" s="19" t="s">
        <v>103</v>
      </c>
      <c r="G79" s="23"/>
      <c r="H79" s="71">
        <f t="shared" si="0"/>
        <v>184450</v>
      </c>
      <c r="I79" s="26"/>
      <c r="J79" s="26"/>
      <c r="K79" s="26"/>
      <c r="L79" s="69">
        <f>J1018</f>
        <v>184450</v>
      </c>
      <c r="M79" s="26"/>
      <c r="N79" s="26"/>
      <c r="O79" s="26"/>
    </row>
    <row r="80" spans="1:18" ht="41.25" customHeight="1">
      <c r="A80" s="282" t="s">
        <v>104</v>
      </c>
      <c r="B80" s="282"/>
      <c r="C80" s="282"/>
      <c r="D80" s="282"/>
      <c r="E80" s="19" t="s">
        <v>105</v>
      </c>
      <c r="F80" s="19" t="s">
        <v>106</v>
      </c>
      <c r="G80" s="23"/>
      <c r="H80" s="71">
        <f t="shared" si="0"/>
        <v>13327667.65</v>
      </c>
      <c r="I80" s="26">
        <f>J510+I520+J527+J550+J543</f>
        <v>1267964.3800000001</v>
      </c>
      <c r="J80" s="26">
        <f>J664+I679+J743+J750+K647</f>
        <v>2292479.57</v>
      </c>
      <c r="K80" s="26">
        <f>K957+H964+H972+J981+I950</f>
        <v>6338376.03</v>
      </c>
      <c r="L80" s="69">
        <f>K1040+H1047+H1054+H1063+I1082+H1097+J1029+H1070+J1089</f>
        <v>2532230</v>
      </c>
      <c r="M80" s="26">
        <f>I790+J797+J817+J781+J773+J911+J809+J835+J827</f>
        <v>884958.2999999999</v>
      </c>
      <c r="N80" s="26">
        <f>J900+J762</f>
        <v>11659.37</v>
      </c>
      <c r="O80" s="26"/>
      <c r="Q80" s="80">
        <f>M80+N80</f>
        <v>896617.6699999999</v>
      </c>
      <c r="R80" s="80" t="e">
        <f>Q80-I787-#REF!</f>
        <v>#REF!</v>
      </c>
    </row>
    <row r="81" spans="1:15" ht="21.75" customHeight="1">
      <c r="A81" s="284" t="s">
        <v>397</v>
      </c>
      <c r="B81" s="284"/>
      <c r="C81" s="284"/>
      <c r="D81" s="284"/>
      <c r="E81" s="19" t="s">
        <v>398</v>
      </c>
      <c r="F81" s="19" t="s">
        <v>399</v>
      </c>
      <c r="G81" s="23"/>
      <c r="H81" s="71">
        <f t="shared" si="0"/>
        <v>2079154.3009800003</v>
      </c>
      <c r="I81" s="26"/>
      <c r="J81" s="26">
        <f>K624</f>
        <v>2079154.3009800003</v>
      </c>
      <c r="K81" s="26"/>
      <c r="L81" s="22"/>
      <c r="M81" s="26"/>
      <c r="N81" s="26"/>
      <c r="O81" s="26"/>
    </row>
    <row r="82" spans="1:15" ht="18.75">
      <c r="A82" s="285"/>
      <c r="B82" s="285"/>
      <c r="C82" s="285"/>
      <c r="D82" s="285"/>
      <c r="E82" s="30"/>
      <c r="F82" s="30"/>
      <c r="G82" s="23"/>
      <c r="H82" s="71">
        <f t="shared" si="0"/>
        <v>0</v>
      </c>
      <c r="I82" s="26"/>
      <c r="J82" s="26"/>
      <c r="K82" s="26"/>
      <c r="L82" s="22"/>
      <c r="M82" s="26"/>
      <c r="N82" s="26"/>
      <c r="O82" s="26"/>
    </row>
    <row r="83" spans="1:15" ht="67.5" customHeight="1">
      <c r="A83" s="282" t="s">
        <v>107</v>
      </c>
      <c r="B83" s="282"/>
      <c r="C83" s="282"/>
      <c r="D83" s="282"/>
      <c r="E83" s="19" t="s">
        <v>108</v>
      </c>
      <c r="F83" s="19" t="s">
        <v>109</v>
      </c>
      <c r="G83" s="23"/>
      <c r="H83" s="71">
        <f t="shared" si="0"/>
        <v>0</v>
      </c>
      <c r="I83" s="26"/>
      <c r="J83" s="26"/>
      <c r="K83" s="26"/>
      <c r="L83" s="22"/>
      <c r="M83" s="26"/>
      <c r="N83" s="26"/>
      <c r="O83" s="26"/>
    </row>
    <row r="84" spans="1:15" ht="97.5" customHeight="1">
      <c r="A84" s="282" t="s">
        <v>110</v>
      </c>
      <c r="B84" s="282"/>
      <c r="C84" s="282"/>
      <c r="D84" s="282"/>
      <c r="E84" s="19" t="s">
        <v>111</v>
      </c>
      <c r="F84" s="19" t="s">
        <v>112</v>
      </c>
      <c r="G84" s="23"/>
      <c r="H84" s="71">
        <f t="shared" si="0"/>
        <v>0</v>
      </c>
      <c r="I84" s="26"/>
      <c r="J84" s="26"/>
      <c r="K84" s="26"/>
      <c r="L84" s="22"/>
      <c r="M84" s="26"/>
      <c r="N84" s="26"/>
      <c r="O84" s="26"/>
    </row>
    <row r="85" spans="1:15" ht="67.5" customHeight="1">
      <c r="A85" s="282" t="s">
        <v>113</v>
      </c>
      <c r="B85" s="282"/>
      <c r="C85" s="282"/>
      <c r="D85" s="282"/>
      <c r="E85" s="19" t="s">
        <v>114</v>
      </c>
      <c r="F85" s="19" t="s">
        <v>115</v>
      </c>
      <c r="G85" s="23"/>
      <c r="H85" s="71">
        <f t="shared" si="0"/>
        <v>0</v>
      </c>
      <c r="I85" s="26"/>
      <c r="J85" s="26"/>
      <c r="K85" s="26"/>
      <c r="L85" s="22"/>
      <c r="M85" s="26"/>
      <c r="N85" s="26"/>
      <c r="O85" s="26"/>
    </row>
    <row r="86" spans="1:15" ht="24.75" customHeight="1">
      <c r="A86" s="283" t="s">
        <v>133</v>
      </c>
      <c r="B86" s="283"/>
      <c r="C86" s="283"/>
      <c r="D86" s="283"/>
      <c r="E86" s="24" t="s">
        <v>116</v>
      </c>
      <c r="F86" s="24" t="s">
        <v>117</v>
      </c>
      <c r="G86" s="23"/>
      <c r="H86" s="71">
        <f t="shared" si="0"/>
        <v>-15386</v>
      </c>
      <c r="I86" s="26"/>
      <c r="J86" s="26"/>
      <c r="K86" s="26"/>
      <c r="L86" s="22"/>
      <c r="M86" s="26">
        <f>M87</f>
        <v>-15386</v>
      </c>
      <c r="N86" s="26"/>
      <c r="O86" s="22" t="s">
        <v>6</v>
      </c>
    </row>
    <row r="87" spans="1:15" ht="41.25" customHeight="1">
      <c r="A87" s="282" t="s">
        <v>134</v>
      </c>
      <c r="B87" s="282"/>
      <c r="C87" s="282"/>
      <c r="D87" s="282"/>
      <c r="E87" s="19" t="s">
        <v>118</v>
      </c>
      <c r="F87" s="19"/>
      <c r="G87" s="23">
        <v>189</v>
      </c>
      <c r="H87" s="71">
        <f t="shared" si="0"/>
        <v>-15386</v>
      </c>
      <c r="I87" s="26"/>
      <c r="J87" s="26"/>
      <c r="K87" s="26"/>
      <c r="L87" s="22"/>
      <c r="M87" s="26">
        <v>-15386</v>
      </c>
      <c r="N87" s="26"/>
      <c r="O87" s="22" t="s">
        <v>6</v>
      </c>
    </row>
    <row r="88" spans="1:15" ht="24.75" customHeight="1">
      <c r="A88" s="282" t="s">
        <v>135</v>
      </c>
      <c r="B88" s="282"/>
      <c r="C88" s="282"/>
      <c r="D88" s="282"/>
      <c r="E88" s="19" t="s">
        <v>119</v>
      </c>
      <c r="F88" s="19"/>
      <c r="G88" s="23"/>
      <c r="H88" s="71">
        <f t="shared" si="0"/>
        <v>0</v>
      </c>
      <c r="I88" s="26"/>
      <c r="J88" s="26"/>
      <c r="K88" s="26"/>
      <c r="L88" s="22"/>
      <c r="M88" s="26"/>
      <c r="N88" s="26"/>
      <c r="O88" s="22" t="s">
        <v>6</v>
      </c>
    </row>
    <row r="89" spans="1:15" ht="21" customHeight="1">
      <c r="A89" s="282" t="s">
        <v>136</v>
      </c>
      <c r="B89" s="282"/>
      <c r="C89" s="282"/>
      <c r="D89" s="282"/>
      <c r="E89" s="19" t="s">
        <v>120</v>
      </c>
      <c r="F89" s="19"/>
      <c r="G89" s="23"/>
      <c r="H89" s="71">
        <f t="shared" si="0"/>
        <v>0</v>
      </c>
      <c r="I89" s="26"/>
      <c r="J89" s="26"/>
      <c r="K89" s="26"/>
      <c r="L89" s="22"/>
      <c r="M89" s="26"/>
      <c r="N89" s="26"/>
      <c r="O89" s="22" t="s">
        <v>6</v>
      </c>
    </row>
    <row r="90" spans="1:15" ht="27" customHeight="1">
      <c r="A90" s="283" t="s">
        <v>137</v>
      </c>
      <c r="B90" s="283"/>
      <c r="C90" s="283"/>
      <c r="D90" s="283"/>
      <c r="E90" s="24" t="s">
        <v>121</v>
      </c>
      <c r="F90" s="24" t="s">
        <v>6</v>
      </c>
      <c r="G90" s="23"/>
      <c r="H90" s="71">
        <f t="shared" si="0"/>
        <v>715304.55</v>
      </c>
      <c r="I90" s="26"/>
      <c r="J90" s="26"/>
      <c r="K90" s="26">
        <f>K91</f>
        <v>461098.22</v>
      </c>
      <c r="L90" s="69">
        <f>L91</f>
        <v>29386.14</v>
      </c>
      <c r="M90" s="26"/>
      <c r="N90" s="26">
        <f>N91</f>
        <v>224820.19</v>
      </c>
      <c r="O90" s="22" t="s">
        <v>6</v>
      </c>
    </row>
    <row r="91" spans="1:15" ht="41.25" customHeight="1">
      <c r="A91" s="282" t="s">
        <v>122</v>
      </c>
      <c r="B91" s="282"/>
      <c r="C91" s="282"/>
      <c r="D91" s="282"/>
      <c r="E91" s="19" t="s">
        <v>123</v>
      </c>
      <c r="F91" s="19" t="s">
        <v>124</v>
      </c>
      <c r="G91" s="23"/>
      <c r="H91" s="71">
        <f t="shared" si="0"/>
        <v>715304.55</v>
      </c>
      <c r="I91" s="26"/>
      <c r="J91" s="26"/>
      <c r="K91" s="26">
        <v>461098.22</v>
      </c>
      <c r="L91" s="69">
        <v>29386.14</v>
      </c>
      <c r="M91" s="26"/>
      <c r="N91" s="26">
        <v>224820.19</v>
      </c>
      <c r="O91" s="22" t="s">
        <v>6</v>
      </c>
    </row>
    <row r="92" spans="2:3" ht="16.5" customHeight="1">
      <c r="B92" s="18"/>
      <c r="C92" s="18"/>
    </row>
    <row r="93" ht="3" customHeight="1"/>
    <row r="94" spans="1:15" ht="18.75" customHeight="1" hidden="1">
      <c r="A94" s="321" t="s">
        <v>0</v>
      </c>
      <c r="B94" s="321"/>
      <c r="C94" s="321"/>
      <c r="D94" s="321"/>
      <c r="E94" s="326" t="s">
        <v>1</v>
      </c>
      <c r="F94" s="326" t="s">
        <v>139</v>
      </c>
      <c r="G94" s="326" t="s">
        <v>128</v>
      </c>
      <c r="H94" s="321" t="s">
        <v>583</v>
      </c>
      <c r="I94" s="321"/>
      <c r="J94" s="321"/>
      <c r="K94" s="321"/>
      <c r="L94" s="321"/>
      <c r="M94" s="321"/>
      <c r="N94" s="321"/>
      <c r="O94" s="327" t="s">
        <v>2</v>
      </c>
    </row>
    <row r="95" spans="1:16" s="6" customFormat="1" ht="18" customHeight="1" hidden="1">
      <c r="A95" s="321"/>
      <c r="B95" s="321"/>
      <c r="C95" s="321"/>
      <c r="D95" s="321"/>
      <c r="E95" s="326"/>
      <c r="F95" s="326"/>
      <c r="G95" s="326"/>
      <c r="H95" s="328" t="s">
        <v>584</v>
      </c>
      <c r="I95" s="328"/>
      <c r="J95" s="328"/>
      <c r="K95" s="328"/>
      <c r="L95" s="328"/>
      <c r="M95" s="328"/>
      <c r="N95" s="328"/>
      <c r="O95" s="327"/>
      <c r="P95" s="8"/>
    </row>
    <row r="96" spans="1:16" s="6" customFormat="1" ht="210.75" customHeight="1" hidden="1">
      <c r="A96" s="321"/>
      <c r="B96" s="321"/>
      <c r="C96" s="321"/>
      <c r="D96" s="321"/>
      <c r="E96" s="326"/>
      <c r="F96" s="326"/>
      <c r="G96" s="326"/>
      <c r="H96" s="329" t="s">
        <v>130</v>
      </c>
      <c r="I96" s="330" t="s">
        <v>125</v>
      </c>
      <c r="J96" s="330" t="s">
        <v>126</v>
      </c>
      <c r="K96" s="330" t="s">
        <v>585</v>
      </c>
      <c r="L96" s="330" t="s">
        <v>138</v>
      </c>
      <c r="M96" s="330" t="s">
        <v>127</v>
      </c>
      <c r="N96" s="330" t="s">
        <v>268</v>
      </c>
      <c r="O96" s="327"/>
      <c r="P96" s="8"/>
    </row>
    <row r="97" spans="1:16" s="6" customFormat="1" ht="37.5" customHeight="1" hidden="1">
      <c r="A97" s="301" t="s">
        <v>271</v>
      </c>
      <c r="B97" s="302"/>
      <c r="C97" s="302"/>
      <c r="D97" s="303"/>
      <c r="E97" s="19" t="s">
        <v>145</v>
      </c>
      <c r="F97" s="32" t="s">
        <v>6</v>
      </c>
      <c r="G97" s="32" t="s">
        <v>6</v>
      </c>
      <c r="H97" s="71">
        <f>I97+J97+K97+L97+M97+N97</f>
        <v>0.0009800009429454803</v>
      </c>
      <c r="I97" s="26">
        <f>I120-I99</f>
        <v>0</v>
      </c>
      <c r="J97" s="26">
        <f>J120-J99</f>
        <v>0.0009800009429454803</v>
      </c>
      <c r="K97" s="26">
        <f>K120-K99</f>
        <v>0</v>
      </c>
      <c r="L97" s="69">
        <f>L120-L99</f>
        <v>0</v>
      </c>
      <c r="M97" s="26">
        <f>M120-M99</f>
        <v>0</v>
      </c>
      <c r="N97" s="26">
        <f>N120-N100</f>
        <v>0</v>
      </c>
      <c r="O97" s="22"/>
      <c r="P97" s="8"/>
    </row>
    <row r="98" spans="1:16" s="6" customFormat="1" ht="42.75" customHeight="1" hidden="1">
      <c r="A98" s="282" t="s">
        <v>272</v>
      </c>
      <c r="B98" s="282"/>
      <c r="C98" s="282"/>
      <c r="D98" s="282"/>
      <c r="E98" s="19" t="s">
        <v>146</v>
      </c>
      <c r="F98" s="32" t="s">
        <v>6</v>
      </c>
      <c r="G98" s="32" t="s">
        <v>6</v>
      </c>
      <c r="H98" s="71">
        <f>I98+J98+K98+L98+M98+N98</f>
        <v>0</v>
      </c>
      <c r="I98" s="26"/>
      <c r="J98" s="26"/>
      <c r="K98" s="26"/>
      <c r="L98" s="22"/>
      <c r="M98" s="26"/>
      <c r="N98" s="26"/>
      <c r="O98" s="23"/>
      <c r="P98" s="8"/>
    </row>
    <row r="99" spans="1:16" s="6" customFormat="1" ht="42.75" customHeight="1" hidden="1">
      <c r="A99" s="304" t="s">
        <v>289</v>
      </c>
      <c r="B99" s="305"/>
      <c r="C99" s="305"/>
      <c r="D99" s="306"/>
      <c r="E99" s="73" t="s">
        <v>290</v>
      </c>
      <c r="F99" s="73"/>
      <c r="G99" s="73" t="s">
        <v>117</v>
      </c>
      <c r="H99" s="71">
        <f>I99+J99+K99+L99+M99+N99+O99</f>
        <v>52928445.46</v>
      </c>
      <c r="I99" s="71">
        <f>I100</f>
        <v>37677000</v>
      </c>
      <c r="J99" s="71">
        <f>J100</f>
        <v>4669292</v>
      </c>
      <c r="K99" s="71">
        <f>K111</f>
        <v>9647353.46</v>
      </c>
      <c r="L99" s="72">
        <f>L111</f>
        <v>394800</v>
      </c>
      <c r="M99" s="71">
        <f>M100</f>
        <v>540000</v>
      </c>
      <c r="N99" s="71">
        <f>N112</f>
        <v>0</v>
      </c>
      <c r="O99" s="74"/>
      <c r="P99" s="8"/>
    </row>
    <row r="100" spans="1:16" s="6" customFormat="1" ht="44.25" customHeight="1" hidden="1">
      <c r="A100" s="286" t="s">
        <v>8</v>
      </c>
      <c r="B100" s="286"/>
      <c r="C100" s="286"/>
      <c r="D100" s="286"/>
      <c r="E100" s="32" t="s">
        <v>9</v>
      </c>
      <c r="F100" s="32" t="s">
        <v>10</v>
      </c>
      <c r="G100" s="36"/>
      <c r="H100" s="71">
        <f>I100+J100+K100+L100+M100+N100</f>
        <v>42886292</v>
      </c>
      <c r="I100" s="33">
        <f>I101</f>
        <v>37677000</v>
      </c>
      <c r="J100" s="33">
        <f>J101</f>
        <v>4669292</v>
      </c>
      <c r="K100" s="33"/>
      <c r="L100" s="67"/>
      <c r="M100" s="33">
        <f>M103</f>
        <v>540000</v>
      </c>
      <c r="N100" s="33"/>
      <c r="O100" s="33"/>
      <c r="P100" s="8"/>
    </row>
    <row r="101" spans="1:16" s="6" customFormat="1" ht="119.25" customHeight="1" hidden="1">
      <c r="A101" s="286" t="s">
        <v>11</v>
      </c>
      <c r="B101" s="286"/>
      <c r="C101" s="286"/>
      <c r="D101" s="286"/>
      <c r="E101" s="32" t="s">
        <v>12</v>
      </c>
      <c r="F101" s="32" t="s">
        <v>10</v>
      </c>
      <c r="G101" s="36">
        <v>131</v>
      </c>
      <c r="H101" s="71">
        <f aca="true" t="shared" si="1" ref="H101:H160">I101+J101+K101+L101+M101+N101</f>
        <v>42346292</v>
      </c>
      <c r="I101" s="26">
        <v>37677000</v>
      </c>
      <c r="J101" s="26">
        <f>4804392-135100</f>
        <v>4669292</v>
      </c>
      <c r="K101" s="26"/>
      <c r="L101" s="22"/>
      <c r="M101" s="26"/>
      <c r="N101" s="26"/>
      <c r="O101" s="26"/>
      <c r="P101" s="8"/>
    </row>
    <row r="102" spans="1:16" s="6" customFormat="1" ht="99.75" customHeight="1" hidden="1">
      <c r="A102" s="286" t="s">
        <v>14</v>
      </c>
      <c r="B102" s="286"/>
      <c r="C102" s="286"/>
      <c r="D102" s="286"/>
      <c r="E102" s="32" t="s">
        <v>13</v>
      </c>
      <c r="F102" s="32" t="s">
        <v>10</v>
      </c>
      <c r="G102" s="36">
        <v>131</v>
      </c>
      <c r="H102" s="71">
        <f t="shared" si="1"/>
        <v>0</v>
      </c>
      <c r="I102" s="26"/>
      <c r="J102" s="26"/>
      <c r="K102" s="26"/>
      <c r="L102" s="22"/>
      <c r="M102" s="26"/>
      <c r="N102" s="26"/>
      <c r="O102" s="26"/>
      <c r="P102" s="8"/>
    </row>
    <row r="103" spans="1:16" s="6" customFormat="1" ht="35.25" customHeight="1" hidden="1">
      <c r="A103" s="292" t="s">
        <v>277</v>
      </c>
      <c r="B103" s="293"/>
      <c r="C103" s="293"/>
      <c r="D103" s="294"/>
      <c r="E103" s="32" t="s">
        <v>275</v>
      </c>
      <c r="F103" s="32" t="s">
        <v>10</v>
      </c>
      <c r="G103" s="36">
        <v>131</v>
      </c>
      <c r="H103" s="71">
        <f t="shared" si="1"/>
        <v>540000</v>
      </c>
      <c r="I103" s="26"/>
      <c r="J103" s="26"/>
      <c r="K103" s="26"/>
      <c r="L103" s="22"/>
      <c r="M103" s="26">
        <v>540000</v>
      </c>
      <c r="N103" s="26"/>
      <c r="O103" s="26"/>
      <c r="P103" s="8"/>
    </row>
    <row r="104" spans="1:16" s="6" customFormat="1" ht="42" customHeight="1" hidden="1">
      <c r="A104" s="286" t="s">
        <v>15</v>
      </c>
      <c r="B104" s="286"/>
      <c r="C104" s="286"/>
      <c r="D104" s="286"/>
      <c r="E104" s="32" t="s">
        <v>16</v>
      </c>
      <c r="F104" s="32" t="s">
        <v>17</v>
      </c>
      <c r="G104" s="36"/>
      <c r="H104" s="71">
        <f t="shared" si="1"/>
        <v>0</v>
      </c>
      <c r="I104" s="26"/>
      <c r="J104" s="26"/>
      <c r="K104" s="26"/>
      <c r="L104" s="22"/>
      <c r="M104" s="26"/>
      <c r="N104" s="26"/>
      <c r="O104" s="26"/>
      <c r="P104" s="8"/>
    </row>
    <row r="105" spans="1:16" s="6" customFormat="1" ht="24" customHeight="1" hidden="1">
      <c r="A105" s="287" t="s">
        <v>7</v>
      </c>
      <c r="B105" s="287"/>
      <c r="C105" s="287"/>
      <c r="D105" s="287"/>
      <c r="E105" s="32" t="s">
        <v>18</v>
      </c>
      <c r="F105" s="32" t="s">
        <v>17</v>
      </c>
      <c r="G105" s="36"/>
      <c r="H105" s="71">
        <f t="shared" si="1"/>
        <v>0</v>
      </c>
      <c r="I105" s="26"/>
      <c r="J105" s="331"/>
      <c r="K105" s="331"/>
      <c r="L105" s="22"/>
      <c r="M105" s="331"/>
      <c r="N105" s="331"/>
      <c r="O105" s="26"/>
      <c r="P105" s="8"/>
    </row>
    <row r="106" spans="1:16" s="6" customFormat="1" ht="42" customHeight="1" hidden="1">
      <c r="A106" s="286" t="s">
        <v>19</v>
      </c>
      <c r="B106" s="286"/>
      <c r="C106" s="286"/>
      <c r="D106" s="286"/>
      <c r="E106" s="32" t="s">
        <v>20</v>
      </c>
      <c r="F106" s="32" t="s">
        <v>21</v>
      </c>
      <c r="G106" s="36">
        <v>155</v>
      </c>
      <c r="H106" s="71">
        <f t="shared" si="1"/>
        <v>0</v>
      </c>
      <c r="I106" s="26"/>
      <c r="J106" s="26"/>
      <c r="K106" s="26"/>
      <c r="L106" s="22"/>
      <c r="M106" s="26"/>
      <c r="N106" s="26"/>
      <c r="O106" s="26"/>
      <c r="P106" s="8"/>
    </row>
    <row r="107" spans="1:16" s="6" customFormat="1" ht="24" customHeight="1" hidden="1">
      <c r="A107" s="292" t="s">
        <v>7</v>
      </c>
      <c r="B107" s="293"/>
      <c r="C107" s="293"/>
      <c r="D107" s="294"/>
      <c r="E107" s="32"/>
      <c r="F107" s="32"/>
      <c r="G107" s="36"/>
      <c r="H107" s="71"/>
      <c r="I107" s="26"/>
      <c r="J107" s="26"/>
      <c r="K107" s="26"/>
      <c r="L107" s="22"/>
      <c r="M107" s="26"/>
      <c r="N107" s="26"/>
      <c r="O107" s="26"/>
      <c r="P107" s="8"/>
    </row>
    <row r="108" spans="1:16" s="6" customFormat="1" ht="22.5" customHeight="1" hidden="1">
      <c r="A108" s="287" t="s">
        <v>268</v>
      </c>
      <c r="B108" s="287"/>
      <c r="C108" s="287"/>
      <c r="D108" s="287"/>
      <c r="E108" s="32" t="s">
        <v>273</v>
      </c>
      <c r="F108" s="32" t="s">
        <v>21</v>
      </c>
      <c r="G108" s="36">
        <v>155</v>
      </c>
      <c r="H108" s="71">
        <f t="shared" si="1"/>
        <v>0</v>
      </c>
      <c r="I108" s="26"/>
      <c r="J108" s="331"/>
      <c r="K108" s="331"/>
      <c r="L108" s="22"/>
      <c r="M108" s="331"/>
      <c r="N108" s="331"/>
      <c r="O108" s="26"/>
      <c r="P108" s="8"/>
    </row>
    <row r="109" spans="1:16" s="6" customFormat="1" ht="24" customHeight="1" hidden="1">
      <c r="A109" s="286" t="s">
        <v>22</v>
      </c>
      <c r="B109" s="286"/>
      <c r="C109" s="286"/>
      <c r="D109" s="286"/>
      <c r="E109" s="32" t="s">
        <v>23</v>
      </c>
      <c r="F109" s="32" t="s">
        <v>24</v>
      </c>
      <c r="G109" s="36"/>
      <c r="H109" s="71">
        <f>I109+J109+K109+L109+M109+N109</f>
        <v>10042153.46</v>
      </c>
      <c r="I109" s="26"/>
      <c r="J109" s="26"/>
      <c r="K109" s="26">
        <f>K111</f>
        <v>9647353.46</v>
      </c>
      <c r="L109" s="69">
        <f>L111</f>
        <v>394800</v>
      </c>
      <c r="M109" s="26"/>
      <c r="N109" s="26"/>
      <c r="O109" s="26"/>
      <c r="P109" s="8"/>
    </row>
    <row r="110" spans="1:16" s="6" customFormat="1" ht="27" customHeight="1" hidden="1">
      <c r="A110" s="287" t="s">
        <v>7</v>
      </c>
      <c r="B110" s="287"/>
      <c r="C110" s="287"/>
      <c r="D110" s="287"/>
      <c r="E110" s="32" t="s">
        <v>26</v>
      </c>
      <c r="F110" s="32" t="s">
        <v>24</v>
      </c>
      <c r="G110" s="36"/>
      <c r="H110" s="71">
        <f t="shared" si="1"/>
        <v>0</v>
      </c>
      <c r="I110" s="26"/>
      <c r="J110" s="331"/>
      <c r="K110" s="69"/>
      <c r="L110" s="69"/>
      <c r="M110" s="331"/>
      <c r="N110" s="331"/>
      <c r="O110" s="26"/>
      <c r="P110" s="8"/>
    </row>
    <row r="111" spans="1:16" s="6" customFormat="1" ht="24" customHeight="1" hidden="1">
      <c r="A111" s="287" t="s">
        <v>25</v>
      </c>
      <c r="B111" s="287"/>
      <c r="C111" s="287"/>
      <c r="D111" s="287"/>
      <c r="E111" s="32" t="s">
        <v>28</v>
      </c>
      <c r="F111" s="332" t="s">
        <v>24</v>
      </c>
      <c r="G111" s="36">
        <v>152</v>
      </c>
      <c r="H111" s="71">
        <f t="shared" si="1"/>
        <v>10042153.46</v>
      </c>
      <c r="I111" s="331"/>
      <c r="J111" s="331"/>
      <c r="K111" s="333">
        <f>50000+5307100+3202900+832400+254953.46</f>
        <v>9647353.46</v>
      </c>
      <c r="L111" s="69">
        <f>494800-100000</f>
        <v>394800</v>
      </c>
      <c r="M111" s="331"/>
      <c r="N111" s="331"/>
      <c r="O111" s="331"/>
      <c r="P111" s="8"/>
    </row>
    <row r="112" spans="1:16" s="6" customFormat="1" ht="24" customHeight="1" hidden="1">
      <c r="A112" s="289" t="s">
        <v>274</v>
      </c>
      <c r="B112" s="290"/>
      <c r="C112" s="290"/>
      <c r="D112" s="291"/>
      <c r="E112" s="32"/>
      <c r="F112" s="332" t="s">
        <v>24</v>
      </c>
      <c r="G112" s="36"/>
      <c r="H112" s="71"/>
      <c r="I112" s="331"/>
      <c r="J112" s="331"/>
      <c r="K112" s="333"/>
      <c r="L112" s="69"/>
      <c r="M112" s="331"/>
      <c r="N112" s="69">
        <v>0</v>
      </c>
      <c r="O112" s="331"/>
      <c r="P112" s="8"/>
    </row>
    <row r="113" spans="1:16" s="6" customFormat="1" ht="48" customHeight="1" hidden="1">
      <c r="A113" s="286" t="s">
        <v>27</v>
      </c>
      <c r="B113" s="286"/>
      <c r="C113" s="286"/>
      <c r="D113" s="286"/>
      <c r="E113" s="32" t="s">
        <v>367</v>
      </c>
      <c r="F113" s="32" t="s">
        <v>24</v>
      </c>
      <c r="G113" s="36"/>
      <c r="H113" s="71">
        <f t="shared" si="1"/>
        <v>0</v>
      </c>
      <c r="I113" s="26"/>
      <c r="J113" s="26"/>
      <c r="K113" s="26"/>
      <c r="L113" s="22"/>
      <c r="M113" s="26"/>
      <c r="N113" s="26"/>
      <c r="O113" s="26"/>
      <c r="P113" s="8"/>
    </row>
    <row r="114" spans="1:16" s="6" customFormat="1" ht="30" customHeight="1" hidden="1">
      <c r="A114" s="286" t="s">
        <v>29</v>
      </c>
      <c r="B114" s="286"/>
      <c r="C114" s="286"/>
      <c r="D114" s="286"/>
      <c r="E114" s="32" t="s">
        <v>30</v>
      </c>
      <c r="F114" s="32"/>
      <c r="G114" s="36"/>
      <c r="H114" s="71">
        <f t="shared" si="1"/>
        <v>0</v>
      </c>
      <c r="I114" s="26"/>
      <c r="J114" s="26"/>
      <c r="K114" s="26"/>
      <c r="L114" s="22"/>
      <c r="M114" s="26"/>
      <c r="N114" s="26"/>
      <c r="O114" s="26"/>
      <c r="P114" s="8"/>
    </row>
    <row r="115" spans="1:16" s="6" customFormat="1" ht="21.75" customHeight="1" hidden="1">
      <c r="A115" s="287" t="s">
        <v>7</v>
      </c>
      <c r="B115" s="287"/>
      <c r="C115" s="287"/>
      <c r="D115" s="287"/>
      <c r="E115" s="32"/>
      <c r="F115" s="32"/>
      <c r="G115" s="36"/>
      <c r="H115" s="71">
        <f t="shared" si="1"/>
        <v>0</v>
      </c>
      <c r="I115" s="26"/>
      <c r="J115" s="331"/>
      <c r="K115" s="331"/>
      <c r="L115" s="22"/>
      <c r="M115" s="331"/>
      <c r="N115" s="331"/>
      <c r="O115" s="26"/>
      <c r="P115" s="8"/>
    </row>
    <row r="116" spans="1:16" s="6" customFormat="1" ht="21.75" customHeight="1" hidden="1">
      <c r="A116" s="334"/>
      <c r="B116" s="335"/>
      <c r="C116" s="335"/>
      <c r="D116" s="336"/>
      <c r="E116" s="32"/>
      <c r="F116" s="32"/>
      <c r="G116" s="36"/>
      <c r="H116" s="71"/>
      <c r="I116" s="26"/>
      <c r="J116" s="331"/>
      <c r="K116" s="331"/>
      <c r="L116" s="22"/>
      <c r="M116" s="331"/>
      <c r="N116" s="331"/>
      <c r="O116" s="26"/>
      <c r="P116" s="8"/>
    </row>
    <row r="117" spans="1:16" s="6" customFormat="1" ht="30.75" customHeight="1" hidden="1">
      <c r="A117" s="282" t="s">
        <v>131</v>
      </c>
      <c r="B117" s="282"/>
      <c r="C117" s="282"/>
      <c r="D117" s="282"/>
      <c r="E117" s="19" t="s">
        <v>31</v>
      </c>
      <c r="F117" s="19" t="s">
        <v>6</v>
      </c>
      <c r="G117" s="23"/>
      <c r="H117" s="71">
        <f t="shared" si="1"/>
        <v>0</v>
      </c>
      <c r="I117" s="26"/>
      <c r="J117" s="26"/>
      <c r="K117" s="26"/>
      <c r="L117" s="22"/>
      <c r="M117" s="26"/>
      <c r="N117" s="26"/>
      <c r="O117" s="26"/>
      <c r="P117" s="8"/>
    </row>
    <row r="118" spans="1:16" s="6" customFormat="1" ht="86.25" customHeight="1" hidden="1">
      <c r="A118" s="282" t="s">
        <v>32</v>
      </c>
      <c r="B118" s="282"/>
      <c r="C118" s="282"/>
      <c r="D118" s="282"/>
      <c r="E118" s="19" t="s">
        <v>33</v>
      </c>
      <c r="F118" s="19" t="s">
        <v>34</v>
      </c>
      <c r="G118" s="23"/>
      <c r="H118" s="71">
        <f t="shared" si="1"/>
        <v>0</v>
      </c>
      <c r="I118" s="26"/>
      <c r="J118" s="26"/>
      <c r="K118" s="26"/>
      <c r="L118" s="22"/>
      <c r="M118" s="26"/>
      <c r="N118" s="26"/>
      <c r="O118" s="22" t="s">
        <v>6</v>
      </c>
      <c r="P118" s="8"/>
    </row>
    <row r="119" spans="1:16" s="6" customFormat="1" ht="15.75" customHeight="1" hidden="1">
      <c r="A119" s="282"/>
      <c r="B119" s="282"/>
      <c r="C119" s="282"/>
      <c r="D119" s="282"/>
      <c r="E119" s="19"/>
      <c r="F119" s="19"/>
      <c r="G119" s="23"/>
      <c r="H119" s="71">
        <f t="shared" si="1"/>
        <v>0</v>
      </c>
      <c r="I119" s="26"/>
      <c r="J119" s="26"/>
      <c r="K119" s="26"/>
      <c r="L119" s="22"/>
      <c r="M119" s="26"/>
      <c r="N119" s="26"/>
      <c r="O119" s="22"/>
      <c r="P119" s="8"/>
    </row>
    <row r="120" spans="1:17" s="6" customFormat="1" ht="24" customHeight="1" hidden="1">
      <c r="A120" s="288" t="s">
        <v>35</v>
      </c>
      <c r="B120" s="288"/>
      <c r="C120" s="288"/>
      <c r="D120" s="288"/>
      <c r="E120" s="75" t="s">
        <v>36</v>
      </c>
      <c r="F120" s="75" t="s">
        <v>6</v>
      </c>
      <c r="G120" s="74"/>
      <c r="H120" s="71">
        <f>I120+J120+K120+L120+M120+N120</f>
        <v>52928445.460980006</v>
      </c>
      <c r="I120" s="71">
        <f>I121+I145</f>
        <v>37677000</v>
      </c>
      <c r="J120" s="71">
        <f>J121+J135+J145</f>
        <v>4669292.000980001</v>
      </c>
      <c r="K120" s="71">
        <f>K121+K135+K145</f>
        <v>9647353.46</v>
      </c>
      <c r="L120" s="71">
        <f>L121+L135+L145</f>
        <v>394800</v>
      </c>
      <c r="M120" s="71">
        <f>M121+M135+M145</f>
        <v>540000</v>
      </c>
      <c r="N120" s="71">
        <f>N121+N135+N145</f>
        <v>0</v>
      </c>
      <c r="O120" s="76"/>
      <c r="P120" s="8"/>
      <c r="Q120" s="80">
        <f>H100+H104+H106+H109+H114</f>
        <v>52928445.46</v>
      </c>
    </row>
    <row r="121" spans="1:16" s="6" customFormat="1" ht="42" customHeight="1" hidden="1">
      <c r="A121" s="282" t="s">
        <v>37</v>
      </c>
      <c r="B121" s="282"/>
      <c r="C121" s="282"/>
      <c r="D121" s="282"/>
      <c r="E121" s="19" t="s">
        <v>38</v>
      </c>
      <c r="F121" s="19" t="s">
        <v>6</v>
      </c>
      <c r="G121" s="30"/>
      <c r="H121" s="71">
        <f t="shared" si="1"/>
        <v>40349883.4</v>
      </c>
      <c r="I121" s="26">
        <f>I122+I123+I125</f>
        <v>36467730</v>
      </c>
      <c r="J121" s="26">
        <f>J122+J123+J125</f>
        <v>679253.4</v>
      </c>
      <c r="K121" s="26">
        <f>K123+K122+K125</f>
        <v>3202900</v>
      </c>
      <c r="L121" s="22"/>
      <c r="M121" s="26"/>
      <c r="N121" s="26"/>
      <c r="O121" s="22" t="s">
        <v>6</v>
      </c>
      <c r="P121" s="8"/>
    </row>
    <row r="122" spans="1:16" s="6" customFormat="1" ht="36" customHeight="1" hidden="1">
      <c r="A122" s="282" t="s">
        <v>39</v>
      </c>
      <c r="B122" s="282"/>
      <c r="C122" s="282"/>
      <c r="D122" s="282"/>
      <c r="E122" s="19" t="s">
        <v>40</v>
      </c>
      <c r="F122" s="19" t="s">
        <v>41</v>
      </c>
      <c r="G122" s="23">
        <v>211.266</v>
      </c>
      <c r="H122" s="71">
        <f t="shared" si="1"/>
        <v>30979572.5</v>
      </c>
      <c r="I122" s="26">
        <f>J1120</f>
        <v>27997872.5</v>
      </c>
      <c r="J122" s="26">
        <f>J1212</f>
        <v>521700</v>
      </c>
      <c r="K122" s="26">
        <f>J1370</f>
        <v>2460000</v>
      </c>
      <c r="L122" s="22"/>
      <c r="M122" s="26"/>
      <c r="N122" s="26"/>
      <c r="O122" s="22" t="s">
        <v>6</v>
      </c>
      <c r="P122" s="8"/>
    </row>
    <row r="123" spans="1:16" s="6" customFormat="1" ht="50.25" customHeight="1" hidden="1">
      <c r="A123" s="282" t="s">
        <v>42</v>
      </c>
      <c r="B123" s="282"/>
      <c r="C123" s="282"/>
      <c r="D123" s="282"/>
      <c r="E123" s="19" t="s">
        <v>43</v>
      </c>
      <c r="F123" s="19" t="s">
        <v>44</v>
      </c>
      <c r="G123" s="23" t="s">
        <v>325</v>
      </c>
      <c r="H123" s="71">
        <f t="shared" si="1"/>
        <v>14500</v>
      </c>
      <c r="I123" s="26">
        <f>K1149+J1134+J1141</f>
        <v>14500</v>
      </c>
      <c r="J123" s="26"/>
      <c r="K123" s="26"/>
      <c r="L123" s="22"/>
      <c r="M123" s="26"/>
      <c r="N123" s="26"/>
      <c r="O123" s="22" t="s">
        <v>6</v>
      </c>
      <c r="P123" s="8"/>
    </row>
    <row r="124" spans="1:16" s="6" customFormat="1" ht="55.5" customHeight="1" hidden="1">
      <c r="A124" s="282" t="s">
        <v>45</v>
      </c>
      <c r="B124" s="282"/>
      <c r="C124" s="282"/>
      <c r="D124" s="282"/>
      <c r="E124" s="19" t="s">
        <v>46</v>
      </c>
      <c r="F124" s="19" t="s">
        <v>47</v>
      </c>
      <c r="G124" s="23"/>
      <c r="H124" s="71">
        <f t="shared" si="1"/>
        <v>0</v>
      </c>
      <c r="I124" s="26"/>
      <c r="J124" s="26"/>
      <c r="K124" s="26"/>
      <c r="L124" s="22"/>
      <c r="M124" s="26"/>
      <c r="N124" s="26"/>
      <c r="O124" s="22" t="s">
        <v>6</v>
      </c>
      <c r="P124" s="8"/>
    </row>
    <row r="125" spans="1:16" s="6" customFormat="1" ht="80.25" customHeight="1" hidden="1">
      <c r="A125" s="282" t="s">
        <v>48</v>
      </c>
      <c r="B125" s="282"/>
      <c r="C125" s="282"/>
      <c r="D125" s="282"/>
      <c r="E125" s="19" t="s">
        <v>49</v>
      </c>
      <c r="F125" s="19" t="s">
        <v>50</v>
      </c>
      <c r="G125" s="23">
        <v>213</v>
      </c>
      <c r="H125" s="71">
        <f t="shared" si="1"/>
        <v>9355810.9</v>
      </c>
      <c r="I125" s="26">
        <f>I1127</f>
        <v>8455357.5</v>
      </c>
      <c r="J125" s="26">
        <f>I1219</f>
        <v>157553.4</v>
      </c>
      <c r="K125" s="26">
        <f>I1376</f>
        <v>742900</v>
      </c>
      <c r="L125" s="22"/>
      <c r="M125" s="26"/>
      <c r="N125" s="26"/>
      <c r="O125" s="22" t="s">
        <v>6</v>
      </c>
      <c r="P125" s="8"/>
    </row>
    <row r="126" spans="1:16" s="6" customFormat="1" ht="44.25" customHeight="1" hidden="1">
      <c r="A126" s="282" t="s">
        <v>51</v>
      </c>
      <c r="B126" s="282"/>
      <c r="C126" s="282"/>
      <c r="D126" s="282"/>
      <c r="E126" s="19" t="s">
        <v>52</v>
      </c>
      <c r="F126" s="19" t="s">
        <v>50</v>
      </c>
      <c r="G126" s="23"/>
      <c r="H126" s="71">
        <f t="shared" si="1"/>
        <v>0</v>
      </c>
      <c r="I126" s="26"/>
      <c r="J126" s="26"/>
      <c r="K126" s="26"/>
      <c r="L126" s="22"/>
      <c r="M126" s="26"/>
      <c r="N126" s="26"/>
      <c r="O126" s="22" t="s">
        <v>6</v>
      </c>
      <c r="P126" s="8"/>
    </row>
    <row r="127" spans="1:16" s="6" customFormat="1" ht="30" customHeight="1" hidden="1">
      <c r="A127" s="282" t="s">
        <v>53</v>
      </c>
      <c r="B127" s="282"/>
      <c r="C127" s="282"/>
      <c r="D127" s="282"/>
      <c r="E127" s="19" t="s">
        <v>54</v>
      </c>
      <c r="F127" s="19" t="s">
        <v>50</v>
      </c>
      <c r="G127" s="23"/>
      <c r="H127" s="71">
        <f t="shared" si="1"/>
        <v>0</v>
      </c>
      <c r="I127" s="26"/>
      <c r="J127" s="26"/>
      <c r="K127" s="26"/>
      <c r="L127" s="22"/>
      <c r="M127" s="26"/>
      <c r="N127" s="26"/>
      <c r="O127" s="22" t="s">
        <v>6</v>
      </c>
      <c r="P127" s="8"/>
    </row>
    <row r="128" spans="1:25" s="6" customFormat="1" ht="95.25" customHeight="1" hidden="1">
      <c r="A128" s="282" t="s">
        <v>55</v>
      </c>
      <c r="B128" s="282"/>
      <c r="C128" s="282"/>
      <c r="D128" s="282"/>
      <c r="E128" s="19" t="s">
        <v>56</v>
      </c>
      <c r="F128" s="19" t="s">
        <v>57</v>
      </c>
      <c r="G128" s="23"/>
      <c r="H128" s="71">
        <f t="shared" si="1"/>
        <v>0</v>
      </c>
      <c r="I128" s="26"/>
      <c r="J128" s="26"/>
      <c r="K128" s="26"/>
      <c r="L128" s="22"/>
      <c r="M128" s="26"/>
      <c r="N128" s="26"/>
      <c r="O128" s="22" t="s">
        <v>6</v>
      </c>
      <c r="P128" s="8"/>
      <c r="Q128" s="1"/>
      <c r="R128" s="1"/>
      <c r="S128" s="1"/>
      <c r="T128" s="1"/>
      <c r="U128" s="1"/>
      <c r="V128" s="1"/>
      <c r="W128" s="1"/>
      <c r="X128" s="1"/>
      <c r="Y128" s="1"/>
    </row>
    <row r="129" spans="1:25" s="6" customFormat="1" ht="52.5" customHeight="1" hidden="1">
      <c r="A129" s="282" t="s">
        <v>58</v>
      </c>
      <c r="B129" s="282"/>
      <c r="C129" s="282"/>
      <c r="D129" s="282"/>
      <c r="E129" s="19" t="s">
        <v>59</v>
      </c>
      <c r="F129" s="19" t="s">
        <v>60</v>
      </c>
      <c r="G129" s="23"/>
      <c r="H129" s="71">
        <f t="shared" si="1"/>
        <v>0</v>
      </c>
      <c r="I129" s="26"/>
      <c r="J129" s="26"/>
      <c r="K129" s="26"/>
      <c r="L129" s="22"/>
      <c r="M129" s="26"/>
      <c r="N129" s="26"/>
      <c r="O129" s="22" t="s">
        <v>6</v>
      </c>
      <c r="P129" s="8"/>
      <c r="Q129" s="3"/>
      <c r="R129" s="3"/>
      <c r="S129" s="3"/>
      <c r="T129" s="3"/>
      <c r="U129" s="3"/>
      <c r="V129" s="3"/>
      <c r="W129" s="3"/>
      <c r="X129" s="3"/>
      <c r="Y129" s="3"/>
    </row>
    <row r="130" spans="1:25" s="6" customFormat="1" ht="88.5" customHeight="1" hidden="1">
      <c r="A130" s="282" t="s">
        <v>61</v>
      </c>
      <c r="B130" s="282"/>
      <c r="C130" s="282"/>
      <c r="D130" s="282"/>
      <c r="E130" s="19" t="s">
        <v>62</v>
      </c>
      <c r="F130" s="19" t="s">
        <v>63</v>
      </c>
      <c r="G130" s="23"/>
      <c r="H130" s="71">
        <f t="shared" si="1"/>
        <v>0</v>
      </c>
      <c r="I130" s="26"/>
      <c r="J130" s="26"/>
      <c r="K130" s="26"/>
      <c r="L130" s="22"/>
      <c r="M130" s="26"/>
      <c r="N130" s="26"/>
      <c r="O130" s="22" t="s">
        <v>6</v>
      </c>
      <c r="P130" s="8"/>
      <c r="Q130" s="1"/>
      <c r="R130" s="1"/>
      <c r="S130" s="1"/>
      <c r="T130" s="1"/>
      <c r="U130" s="1"/>
      <c r="V130" s="1"/>
      <c r="W130" s="1"/>
      <c r="X130" s="1"/>
      <c r="Y130" s="1"/>
    </row>
    <row r="131" spans="1:25" s="6" customFormat="1" ht="97.5" customHeight="1" hidden="1">
      <c r="A131" s="282" t="s">
        <v>64</v>
      </c>
      <c r="B131" s="282"/>
      <c r="C131" s="282"/>
      <c r="D131" s="282"/>
      <c r="E131" s="19" t="s">
        <v>65</v>
      </c>
      <c r="F131" s="19" t="s">
        <v>66</v>
      </c>
      <c r="G131" s="23"/>
      <c r="H131" s="71">
        <f t="shared" si="1"/>
        <v>0</v>
      </c>
      <c r="I131" s="26"/>
      <c r="J131" s="26"/>
      <c r="K131" s="26"/>
      <c r="L131" s="69"/>
      <c r="M131" s="26"/>
      <c r="N131" s="26"/>
      <c r="O131" s="22" t="s">
        <v>6</v>
      </c>
      <c r="P131" s="8"/>
      <c r="Q131" s="3"/>
      <c r="R131" s="3"/>
      <c r="S131" s="3"/>
      <c r="T131" s="3"/>
      <c r="U131" s="3"/>
      <c r="V131" s="3"/>
      <c r="W131" s="3"/>
      <c r="X131" s="3"/>
      <c r="Y131" s="3"/>
    </row>
    <row r="132" spans="1:25" s="6" customFormat="1" ht="86.25" customHeight="1" hidden="1">
      <c r="A132" s="282" t="s">
        <v>67</v>
      </c>
      <c r="B132" s="282"/>
      <c r="C132" s="282"/>
      <c r="D132" s="282"/>
      <c r="E132" s="19" t="s">
        <v>68</v>
      </c>
      <c r="F132" s="19" t="s">
        <v>69</v>
      </c>
      <c r="G132" s="23"/>
      <c r="H132" s="71">
        <f t="shared" si="1"/>
        <v>0</v>
      </c>
      <c r="I132" s="26"/>
      <c r="J132" s="26"/>
      <c r="K132" s="26"/>
      <c r="L132" s="22"/>
      <c r="M132" s="26"/>
      <c r="N132" s="26"/>
      <c r="O132" s="22" t="s">
        <v>6</v>
      </c>
      <c r="P132" s="8"/>
      <c r="Q132" s="1"/>
      <c r="R132" s="1"/>
      <c r="S132" s="1"/>
      <c r="T132" s="1"/>
      <c r="U132" s="1"/>
      <c r="V132" s="1"/>
      <c r="W132" s="1"/>
      <c r="X132" s="1"/>
      <c r="Y132" s="1"/>
    </row>
    <row r="133" spans="1:25" s="6" customFormat="1" ht="126.75" customHeight="1" hidden="1">
      <c r="A133" s="282" t="s">
        <v>70</v>
      </c>
      <c r="B133" s="282"/>
      <c r="C133" s="282"/>
      <c r="D133" s="282"/>
      <c r="E133" s="19" t="s">
        <v>71</v>
      </c>
      <c r="F133" s="19" t="s">
        <v>72</v>
      </c>
      <c r="G133" s="23"/>
      <c r="H133" s="71">
        <f t="shared" si="1"/>
        <v>0</v>
      </c>
      <c r="I133" s="26"/>
      <c r="J133" s="26"/>
      <c r="K133" s="26"/>
      <c r="L133" s="22"/>
      <c r="M133" s="26"/>
      <c r="N133" s="26"/>
      <c r="O133" s="22" t="s">
        <v>6</v>
      </c>
      <c r="P133" s="8"/>
      <c r="Q133" s="1"/>
      <c r="R133" s="1"/>
      <c r="S133" s="1"/>
      <c r="T133" s="1"/>
      <c r="U133" s="1"/>
      <c r="V133" s="1"/>
      <c r="W133" s="1"/>
      <c r="X133" s="1"/>
      <c r="Y133" s="1"/>
    </row>
    <row r="134" spans="1:25" s="6" customFormat="1" ht="43.5" customHeight="1" hidden="1">
      <c r="A134" s="282" t="s">
        <v>355</v>
      </c>
      <c r="B134" s="282"/>
      <c r="C134" s="282"/>
      <c r="D134" s="282"/>
      <c r="E134" s="19" t="s">
        <v>356</v>
      </c>
      <c r="F134" s="19" t="s">
        <v>357</v>
      </c>
      <c r="G134" s="23"/>
      <c r="H134" s="71">
        <f t="shared" si="1"/>
        <v>0</v>
      </c>
      <c r="I134" s="26"/>
      <c r="J134" s="26"/>
      <c r="K134" s="26"/>
      <c r="L134" s="22"/>
      <c r="M134" s="26"/>
      <c r="N134" s="26"/>
      <c r="O134" s="22" t="s">
        <v>6</v>
      </c>
      <c r="P134" s="8"/>
      <c r="Q134" s="1"/>
      <c r="R134" s="1"/>
      <c r="S134" s="1"/>
      <c r="T134" s="1"/>
      <c r="U134" s="1"/>
      <c r="V134" s="1"/>
      <c r="W134" s="1"/>
      <c r="X134" s="1"/>
      <c r="Y134" s="1"/>
    </row>
    <row r="135" spans="1:25" s="6" customFormat="1" ht="30.75" customHeight="1" hidden="1">
      <c r="A135" s="282" t="s">
        <v>73</v>
      </c>
      <c r="B135" s="282"/>
      <c r="C135" s="282"/>
      <c r="D135" s="282"/>
      <c r="E135" s="19" t="s">
        <v>74</v>
      </c>
      <c r="F135" s="19" t="s">
        <v>75</v>
      </c>
      <c r="G135" s="23"/>
      <c r="H135" s="71">
        <f t="shared" si="1"/>
        <v>369254.91</v>
      </c>
      <c r="I135" s="26"/>
      <c r="J135" s="26">
        <f>J137+J136+J138</f>
        <v>369254.91</v>
      </c>
      <c r="K135" s="26"/>
      <c r="L135" s="22"/>
      <c r="M135" s="26"/>
      <c r="N135" s="26"/>
      <c r="O135" s="22" t="s">
        <v>6</v>
      </c>
      <c r="P135" s="8"/>
      <c r="Q135" s="1"/>
      <c r="R135" s="1"/>
      <c r="S135" s="1"/>
      <c r="T135" s="1"/>
      <c r="U135" s="1"/>
      <c r="V135" s="1"/>
      <c r="W135" s="1"/>
      <c r="X135" s="1"/>
      <c r="Y135" s="1"/>
    </row>
    <row r="136" spans="1:25" s="6" customFormat="1" ht="38.25" customHeight="1" hidden="1">
      <c r="A136" s="282" t="s">
        <v>76</v>
      </c>
      <c r="B136" s="282"/>
      <c r="C136" s="282"/>
      <c r="D136" s="282"/>
      <c r="E136" s="19" t="s">
        <v>77</v>
      </c>
      <c r="F136" s="19" t="s">
        <v>78</v>
      </c>
      <c r="G136" s="23">
        <v>290</v>
      </c>
      <c r="H136" s="71">
        <f t="shared" si="1"/>
        <v>358654.91</v>
      </c>
      <c r="I136" s="26"/>
      <c r="J136" s="26">
        <f>J1308</f>
        <v>358654.91</v>
      </c>
      <c r="K136" s="26"/>
      <c r="L136" s="22"/>
      <c r="M136" s="26"/>
      <c r="N136" s="26"/>
      <c r="O136" s="22" t="s">
        <v>6</v>
      </c>
      <c r="P136" s="8"/>
      <c r="Q136" s="1"/>
      <c r="R136" s="1"/>
      <c r="S136" s="1"/>
      <c r="T136" s="1"/>
      <c r="U136" s="1"/>
      <c r="V136" s="1"/>
      <c r="W136" s="1"/>
      <c r="X136" s="1"/>
      <c r="Y136" s="1"/>
    </row>
    <row r="137" spans="1:25" s="6" customFormat="1" ht="60.75" customHeight="1" hidden="1">
      <c r="A137" s="282" t="s">
        <v>79</v>
      </c>
      <c r="B137" s="282"/>
      <c r="C137" s="282"/>
      <c r="D137" s="282"/>
      <c r="E137" s="19" t="s">
        <v>80</v>
      </c>
      <c r="F137" s="19" t="s">
        <v>81</v>
      </c>
      <c r="G137" s="23">
        <v>290</v>
      </c>
      <c r="H137" s="71">
        <f t="shared" si="1"/>
        <v>0</v>
      </c>
      <c r="I137" s="26"/>
      <c r="J137" s="26"/>
      <c r="K137" s="26"/>
      <c r="L137" s="22"/>
      <c r="M137" s="26"/>
      <c r="N137" s="26"/>
      <c r="O137" s="22" t="s">
        <v>6</v>
      </c>
      <c r="P137" s="8"/>
      <c r="Q137" s="3"/>
      <c r="R137" s="3"/>
      <c r="S137" s="3"/>
      <c r="T137" s="3"/>
      <c r="U137" s="3"/>
      <c r="V137" s="3"/>
      <c r="W137" s="3"/>
      <c r="X137" s="3"/>
      <c r="Y137" s="3"/>
    </row>
    <row r="138" spans="1:25" s="6" customFormat="1" ht="50.25" customHeight="1" hidden="1">
      <c r="A138" s="282" t="s">
        <v>82</v>
      </c>
      <c r="B138" s="282"/>
      <c r="C138" s="282"/>
      <c r="D138" s="282"/>
      <c r="E138" s="19" t="s">
        <v>83</v>
      </c>
      <c r="F138" s="19" t="s">
        <v>84</v>
      </c>
      <c r="G138" s="23">
        <v>290</v>
      </c>
      <c r="H138" s="71">
        <f t="shared" si="1"/>
        <v>10600</v>
      </c>
      <c r="I138" s="26"/>
      <c r="J138" s="26">
        <f>J1316</f>
        <v>10600</v>
      </c>
      <c r="K138" s="26"/>
      <c r="L138" s="22"/>
      <c r="M138" s="26"/>
      <c r="N138" s="26"/>
      <c r="O138" s="22" t="s">
        <v>6</v>
      </c>
      <c r="P138" s="8"/>
      <c r="Q138" s="3"/>
      <c r="R138" s="3"/>
      <c r="S138" s="3"/>
      <c r="T138" s="3"/>
      <c r="U138" s="3"/>
      <c r="V138" s="3"/>
      <c r="W138" s="3"/>
      <c r="X138" s="3"/>
      <c r="Y138" s="3"/>
    </row>
    <row r="139" spans="1:25" s="6" customFormat="1" ht="53.25" customHeight="1" hidden="1">
      <c r="A139" s="282" t="s">
        <v>85</v>
      </c>
      <c r="B139" s="282"/>
      <c r="C139" s="282"/>
      <c r="D139" s="282"/>
      <c r="E139" s="19" t="s">
        <v>86</v>
      </c>
      <c r="F139" s="19" t="s">
        <v>6</v>
      </c>
      <c r="G139" s="23"/>
      <c r="H139" s="71">
        <f t="shared" si="1"/>
        <v>0</v>
      </c>
      <c r="I139" s="26"/>
      <c r="J139" s="26"/>
      <c r="K139" s="26"/>
      <c r="L139" s="22"/>
      <c r="M139" s="26"/>
      <c r="N139" s="26"/>
      <c r="O139" s="22" t="s">
        <v>6</v>
      </c>
      <c r="P139" s="8"/>
      <c r="Q139" s="1"/>
      <c r="R139" s="1"/>
      <c r="S139" s="1"/>
      <c r="T139" s="1"/>
      <c r="U139" s="1"/>
      <c r="V139" s="1"/>
      <c r="W139" s="1"/>
      <c r="X139" s="1"/>
      <c r="Y139" s="1"/>
    </row>
    <row r="140" spans="1:25" s="6" customFormat="1" ht="75" customHeight="1" hidden="1">
      <c r="A140" s="282" t="s">
        <v>87</v>
      </c>
      <c r="B140" s="282"/>
      <c r="C140" s="282"/>
      <c r="D140" s="282"/>
      <c r="E140" s="19" t="s">
        <v>88</v>
      </c>
      <c r="F140" s="19" t="s">
        <v>358</v>
      </c>
      <c r="G140" s="23"/>
      <c r="H140" s="71">
        <f t="shared" si="1"/>
        <v>0</v>
      </c>
      <c r="I140" s="26"/>
      <c r="J140" s="26"/>
      <c r="K140" s="26"/>
      <c r="L140" s="22"/>
      <c r="M140" s="26"/>
      <c r="N140" s="26"/>
      <c r="O140" s="22" t="s">
        <v>6</v>
      </c>
      <c r="P140" s="8"/>
      <c r="Q140" s="3"/>
      <c r="R140" s="3"/>
      <c r="S140" s="3"/>
      <c r="T140" s="3"/>
      <c r="U140" s="3"/>
      <c r="V140" s="3"/>
      <c r="W140" s="3"/>
      <c r="X140" s="3"/>
      <c r="Y140" s="3"/>
    </row>
    <row r="141" spans="1:25" s="6" customFormat="1" ht="75" customHeight="1" hidden="1">
      <c r="A141" s="286" t="s">
        <v>362</v>
      </c>
      <c r="B141" s="286"/>
      <c r="C141" s="286"/>
      <c r="D141" s="286"/>
      <c r="E141" s="32" t="s">
        <v>363</v>
      </c>
      <c r="F141" s="32" t="s">
        <v>364</v>
      </c>
      <c r="G141" s="126"/>
      <c r="H141" s="71">
        <f t="shared" si="1"/>
        <v>0</v>
      </c>
      <c r="I141" s="127"/>
      <c r="J141" s="127"/>
      <c r="K141" s="127"/>
      <c r="L141" s="21"/>
      <c r="M141" s="127"/>
      <c r="N141" s="127"/>
      <c r="O141" s="22" t="s">
        <v>6</v>
      </c>
      <c r="P141" s="8"/>
      <c r="Q141" s="3"/>
      <c r="R141" s="3"/>
      <c r="S141" s="3"/>
      <c r="T141" s="3"/>
      <c r="U141" s="3"/>
      <c r="V141" s="3"/>
      <c r="W141" s="3"/>
      <c r="X141" s="3"/>
      <c r="Y141" s="3"/>
    </row>
    <row r="142" spans="1:25" s="6" customFormat="1" ht="75" customHeight="1" hidden="1">
      <c r="A142" s="286" t="s">
        <v>359</v>
      </c>
      <c r="B142" s="286"/>
      <c r="C142" s="286"/>
      <c r="D142" s="286"/>
      <c r="E142" s="32" t="s">
        <v>360</v>
      </c>
      <c r="F142" s="32" t="s">
        <v>361</v>
      </c>
      <c r="G142" s="126"/>
      <c r="H142" s="71">
        <f t="shared" si="1"/>
        <v>0</v>
      </c>
      <c r="I142" s="127"/>
      <c r="J142" s="127"/>
      <c r="K142" s="127"/>
      <c r="L142" s="21"/>
      <c r="M142" s="127"/>
      <c r="N142" s="127"/>
      <c r="O142" s="22" t="s">
        <v>6</v>
      </c>
      <c r="P142" s="8"/>
      <c r="Q142" s="3"/>
      <c r="R142" s="3"/>
      <c r="S142" s="3"/>
      <c r="T142" s="3"/>
      <c r="U142" s="3"/>
      <c r="V142" s="3"/>
      <c r="W142" s="3"/>
      <c r="X142" s="3"/>
      <c r="Y142" s="3"/>
    </row>
    <row r="143" spans="1:25" s="6" customFormat="1" ht="59.25" customHeight="1" hidden="1">
      <c r="A143" s="301" t="s">
        <v>89</v>
      </c>
      <c r="B143" s="302"/>
      <c r="C143" s="302"/>
      <c r="D143" s="303"/>
      <c r="E143" s="19" t="s">
        <v>90</v>
      </c>
      <c r="F143" s="19" t="s">
        <v>6</v>
      </c>
      <c r="G143" s="23"/>
      <c r="H143" s="71">
        <f t="shared" si="1"/>
        <v>0</v>
      </c>
      <c r="I143" s="26"/>
      <c r="J143" s="26"/>
      <c r="K143" s="26"/>
      <c r="L143" s="22"/>
      <c r="M143" s="26"/>
      <c r="N143" s="26"/>
      <c r="O143" s="22" t="s">
        <v>6</v>
      </c>
      <c r="P143" s="8"/>
      <c r="Q143" s="1"/>
      <c r="R143" s="1"/>
      <c r="S143" s="1"/>
      <c r="T143" s="1"/>
      <c r="U143" s="1"/>
      <c r="V143" s="1"/>
      <c r="W143" s="1"/>
      <c r="X143" s="1"/>
      <c r="Y143" s="1"/>
    </row>
    <row r="144" spans="1:25" s="6" customFormat="1" ht="97.5" customHeight="1" hidden="1">
      <c r="A144" s="282" t="s">
        <v>91</v>
      </c>
      <c r="B144" s="282"/>
      <c r="C144" s="282"/>
      <c r="D144" s="282"/>
      <c r="E144" s="19" t="s">
        <v>92</v>
      </c>
      <c r="F144" s="19" t="s">
        <v>93</v>
      </c>
      <c r="G144" s="23"/>
      <c r="H144" s="71">
        <f t="shared" si="1"/>
        <v>0</v>
      </c>
      <c r="I144" s="26"/>
      <c r="J144" s="26"/>
      <c r="K144" s="26"/>
      <c r="L144" s="22"/>
      <c r="M144" s="26"/>
      <c r="N144" s="26"/>
      <c r="O144" s="22" t="s">
        <v>6</v>
      </c>
      <c r="P144" s="8"/>
      <c r="Q144" s="1"/>
      <c r="R144" s="1"/>
      <c r="S144" s="1"/>
      <c r="T144" s="1"/>
      <c r="U144" s="1"/>
      <c r="V144" s="1"/>
      <c r="W144" s="1"/>
      <c r="X144" s="1"/>
      <c r="Y144" s="1"/>
    </row>
    <row r="145" spans="1:16" s="6" customFormat="1" ht="43.5" customHeight="1" hidden="1">
      <c r="A145" s="282" t="s">
        <v>132</v>
      </c>
      <c r="B145" s="282"/>
      <c r="C145" s="282"/>
      <c r="D145" s="282"/>
      <c r="E145" s="19" t="s">
        <v>94</v>
      </c>
      <c r="F145" s="19" t="s">
        <v>6</v>
      </c>
      <c r="G145" s="23"/>
      <c r="H145" s="71">
        <f t="shared" si="1"/>
        <v>12209307.15098</v>
      </c>
      <c r="I145" s="26">
        <f>I149</f>
        <v>1209270</v>
      </c>
      <c r="J145" s="26">
        <f>J149+J150</f>
        <v>3620783.6909800004</v>
      </c>
      <c r="K145" s="26">
        <f>K149</f>
        <v>6444453.46</v>
      </c>
      <c r="L145" s="69">
        <f>L149</f>
        <v>394800</v>
      </c>
      <c r="M145" s="26">
        <f>M149</f>
        <v>540000</v>
      </c>
      <c r="N145" s="26"/>
      <c r="O145" s="26"/>
      <c r="P145" s="8"/>
    </row>
    <row r="146" spans="1:15" ht="56.25" customHeight="1" hidden="1">
      <c r="A146" s="282" t="s">
        <v>95</v>
      </c>
      <c r="B146" s="282"/>
      <c r="C146" s="282"/>
      <c r="D146" s="282"/>
      <c r="E146" s="19" t="s">
        <v>96</v>
      </c>
      <c r="F146" s="19" t="s">
        <v>97</v>
      </c>
      <c r="G146" s="23"/>
      <c r="H146" s="71">
        <f t="shared" si="1"/>
        <v>0</v>
      </c>
      <c r="I146" s="26"/>
      <c r="J146" s="26"/>
      <c r="K146" s="26"/>
      <c r="L146" s="22"/>
      <c r="M146" s="26"/>
      <c r="N146" s="26"/>
      <c r="O146" s="26"/>
    </row>
    <row r="147" spans="1:15" ht="62.25" customHeight="1" hidden="1">
      <c r="A147" s="282" t="s">
        <v>98</v>
      </c>
      <c r="B147" s="282"/>
      <c r="C147" s="282"/>
      <c r="D147" s="282"/>
      <c r="E147" s="19" t="s">
        <v>99</v>
      </c>
      <c r="F147" s="19" t="s">
        <v>100</v>
      </c>
      <c r="G147" s="23"/>
      <c r="H147" s="71">
        <f t="shared" si="1"/>
        <v>0</v>
      </c>
      <c r="I147" s="26"/>
      <c r="J147" s="26"/>
      <c r="K147" s="26"/>
      <c r="L147" s="22"/>
      <c r="M147" s="26"/>
      <c r="N147" s="26"/>
      <c r="O147" s="26"/>
    </row>
    <row r="148" spans="1:15" ht="65.25" customHeight="1" hidden="1">
      <c r="A148" s="282" t="s">
        <v>101</v>
      </c>
      <c r="B148" s="282"/>
      <c r="C148" s="282"/>
      <c r="D148" s="282"/>
      <c r="E148" s="19" t="s">
        <v>102</v>
      </c>
      <c r="F148" s="19" t="s">
        <v>103</v>
      </c>
      <c r="G148" s="23"/>
      <c r="H148" s="71">
        <f t="shared" si="1"/>
        <v>0</v>
      </c>
      <c r="I148" s="26"/>
      <c r="J148" s="26"/>
      <c r="K148" s="26"/>
      <c r="L148" s="22"/>
      <c r="M148" s="26"/>
      <c r="N148" s="26"/>
      <c r="O148" s="26"/>
    </row>
    <row r="149" spans="1:15" ht="45.75" customHeight="1" hidden="1">
      <c r="A149" s="282" t="s">
        <v>104</v>
      </c>
      <c r="B149" s="282"/>
      <c r="C149" s="282"/>
      <c r="D149" s="282"/>
      <c r="E149" s="19" t="s">
        <v>105</v>
      </c>
      <c r="F149" s="19" t="s">
        <v>106</v>
      </c>
      <c r="G149" s="23"/>
      <c r="H149" s="71">
        <f>I149+J149+K149+L149+M149+N149</f>
        <v>10016626.48</v>
      </c>
      <c r="I149" s="26">
        <f>J1162+I1171+J1178+J1194+J1201</f>
        <v>1209270</v>
      </c>
      <c r="J149" s="26">
        <f>K1231+J1258+I1269-J150+J1328+J1335+K1245</f>
        <v>1428103.02</v>
      </c>
      <c r="K149" s="26">
        <f>K1388+J1402+H1395+H1409</f>
        <v>6444453.46</v>
      </c>
      <c r="L149" s="69">
        <f>H1422</f>
        <v>394800</v>
      </c>
      <c r="M149" s="26">
        <f>I1346+J1353+J1361</f>
        <v>540000</v>
      </c>
      <c r="N149" s="26"/>
      <c r="O149" s="26"/>
    </row>
    <row r="150" spans="1:15" ht="21.75" customHeight="1" hidden="1">
      <c r="A150" s="284" t="s">
        <v>397</v>
      </c>
      <c r="B150" s="284"/>
      <c r="C150" s="284"/>
      <c r="D150" s="284"/>
      <c r="E150" s="19" t="s">
        <v>398</v>
      </c>
      <c r="F150" s="19" t="s">
        <v>399</v>
      </c>
      <c r="G150" s="23"/>
      <c r="H150" s="71">
        <f>I150+J150+K150+L150+M150+N150</f>
        <v>2192680.6709800004</v>
      </c>
      <c r="I150" s="26"/>
      <c r="J150" s="26">
        <f>K1231</f>
        <v>2192680.6709800004</v>
      </c>
      <c r="K150" s="26"/>
      <c r="L150" s="22"/>
      <c r="M150" s="26"/>
      <c r="N150" s="26"/>
      <c r="O150" s="26"/>
    </row>
    <row r="151" spans="1:25" s="8" customFormat="1" ht="21.75" customHeight="1" hidden="1">
      <c r="A151" s="337"/>
      <c r="B151" s="338"/>
      <c r="C151" s="338"/>
      <c r="D151" s="339"/>
      <c r="E151" s="19"/>
      <c r="F151" s="19"/>
      <c r="G151" s="23"/>
      <c r="H151" s="71"/>
      <c r="I151" s="26"/>
      <c r="J151" s="26"/>
      <c r="K151" s="26"/>
      <c r="L151" s="22"/>
      <c r="M151" s="26"/>
      <c r="N151" s="26"/>
      <c r="O151" s="26"/>
      <c r="Q151" s="1"/>
      <c r="R151" s="1"/>
      <c r="S151" s="1"/>
      <c r="T151" s="1"/>
      <c r="U151" s="1"/>
      <c r="V151" s="1"/>
      <c r="W151" s="1"/>
      <c r="X151" s="1"/>
      <c r="Y151" s="1"/>
    </row>
    <row r="152" spans="1:25" s="8" customFormat="1" ht="36" customHeight="1" hidden="1">
      <c r="A152" s="282" t="s">
        <v>107</v>
      </c>
      <c r="B152" s="282"/>
      <c r="C152" s="282"/>
      <c r="D152" s="282"/>
      <c r="E152" s="19" t="s">
        <v>108</v>
      </c>
      <c r="F152" s="19" t="s">
        <v>109</v>
      </c>
      <c r="G152" s="23"/>
      <c r="H152" s="71">
        <f t="shared" si="1"/>
        <v>0</v>
      </c>
      <c r="I152" s="26"/>
      <c r="J152" s="26"/>
      <c r="K152" s="26"/>
      <c r="L152" s="22"/>
      <c r="M152" s="26"/>
      <c r="N152" s="26"/>
      <c r="O152" s="26"/>
      <c r="Q152" s="1"/>
      <c r="R152" s="1"/>
      <c r="S152" s="1"/>
      <c r="T152" s="1"/>
      <c r="U152" s="1"/>
      <c r="V152" s="1"/>
      <c r="W152" s="1"/>
      <c r="X152" s="1"/>
      <c r="Y152" s="1"/>
    </row>
    <row r="153" spans="1:25" s="8" customFormat="1" ht="84.75" customHeight="1" hidden="1">
      <c r="A153" s="282" t="s">
        <v>110</v>
      </c>
      <c r="B153" s="282"/>
      <c r="C153" s="282"/>
      <c r="D153" s="282"/>
      <c r="E153" s="19" t="s">
        <v>111</v>
      </c>
      <c r="F153" s="19" t="s">
        <v>112</v>
      </c>
      <c r="G153" s="23"/>
      <c r="H153" s="71">
        <f t="shared" si="1"/>
        <v>0</v>
      </c>
      <c r="I153" s="26"/>
      <c r="J153" s="26"/>
      <c r="K153" s="26"/>
      <c r="L153" s="22"/>
      <c r="M153" s="26"/>
      <c r="N153" s="26"/>
      <c r="O153" s="26"/>
      <c r="Q153" s="1"/>
      <c r="R153" s="1"/>
      <c r="S153" s="1"/>
      <c r="T153" s="1"/>
      <c r="U153" s="1"/>
      <c r="V153" s="1"/>
      <c r="W153" s="1"/>
      <c r="X153" s="1"/>
      <c r="Y153" s="1"/>
    </row>
    <row r="154" spans="1:25" s="8" customFormat="1" ht="83.25" customHeight="1" hidden="1">
      <c r="A154" s="282" t="s">
        <v>113</v>
      </c>
      <c r="B154" s="282"/>
      <c r="C154" s="282"/>
      <c r="D154" s="282"/>
      <c r="E154" s="19" t="s">
        <v>114</v>
      </c>
      <c r="F154" s="19" t="s">
        <v>115</v>
      </c>
      <c r="G154" s="23"/>
      <c r="H154" s="71">
        <f t="shared" si="1"/>
        <v>0</v>
      </c>
      <c r="I154" s="26"/>
      <c r="J154" s="26"/>
      <c r="K154" s="26"/>
      <c r="L154" s="22"/>
      <c r="M154" s="26"/>
      <c r="N154" s="26"/>
      <c r="O154" s="26"/>
      <c r="Q154" s="1"/>
      <c r="R154" s="1"/>
      <c r="S154" s="1"/>
      <c r="T154" s="1"/>
      <c r="U154" s="1"/>
      <c r="V154" s="1"/>
      <c r="W154" s="1"/>
      <c r="X154" s="1"/>
      <c r="Y154" s="1"/>
    </row>
    <row r="155" spans="1:25" s="8" customFormat="1" ht="32.25" customHeight="1" hidden="1">
      <c r="A155" s="283" t="s">
        <v>133</v>
      </c>
      <c r="B155" s="283"/>
      <c r="C155" s="283"/>
      <c r="D155" s="283"/>
      <c r="E155" s="24" t="s">
        <v>116</v>
      </c>
      <c r="F155" s="24" t="s">
        <v>117</v>
      </c>
      <c r="G155" s="23"/>
      <c r="H155" s="71">
        <f t="shared" si="1"/>
        <v>0</v>
      </c>
      <c r="I155" s="26"/>
      <c r="J155" s="26"/>
      <c r="K155" s="26"/>
      <c r="L155" s="22"/>
      <c r="M155" s="26"/>
      <c r="N155" s="26"/>
      <c r="O155" s="22" t="s">
        <v>6</v>
      </c>
      <c r="Q155" s="1"/>
      <c r="R155" s="1"/>
      <c r="S155" s="1"/>
      <c r="T155" s="1"/>
      <c r="U155" s="1"/>
      <c r="V155" s="1"/>
      <c r="W155" s="1"/>
      <c r="X155" s="1"/>
      <c r="Y155" s="1"/>
    </row>
    <row r="156" spans="1:25" s="8" customFormat="1" ht="39.75" customHeight="1" hidden="1">
      <c r="A156" s="282" t="s">
        <v>134</v>
      </c>
      <c r="B156" s="282"/>
      <c r="C156" s="282"/>
      <c r="D156" s="282"/>
      <c r="E156" s="19" t="s">
        <v>118</v>
      </c>
      <c r="F156" s="19"/>
      <c r="G156" s="36">
        <v>189</v>
      </c>
      <c r="H156" s="71">
        <f t="shared" si="1"/>
        <v>0</v>
      </c>
      <c r="I156" s="26"/>
      <c r="J156" s="26"/>
      <c r="K156" s="26"/>
      <c r="L156" s="22"/>
      <c r="M156" s="26"/>
      <c r="N156" s="26"/>
      <c r="O156" s="22" t="s">
        <v>6</v>
      </c>
      <c r="Q156" s="1"/>
      <c r="R156" s="1"/>
      <c r="S156" s="1"/>
      <c r="T156" s="1"/>
      <c r="U156" s="1"/>
      <c r="V156" s="1"/>
      <c r="W156" s="1"/>
      <c r="X156" s="1"/>
      <c r="Y156" s="1"/>
    </row>
    <row r="157" spans="1:25" s="8" customFormat="1" ht="27.75" customHeight="1" hidden="1">
      <c r="A157" s="282" t="s">
        <v>135</v>
      </c>
      <c r="B157" s="282"/>
      <c r="C157" s="282"/>
      <c r="D157" s="282"/>
      <c r="E157" s="19" t="s">
        <v>119</v>
      </c>
      <c r="F157" s="19"/>
      <c r="G157" s="23"/>
      <c r="H157" s="71">
        <f t="shared" si="1"/>
        <v>0</v>
      </c>
      <c r="I157" s="26"/>
      <c r="J157" s="26"/>
      <c r="K157" s="26"/>
      <c r="L157" s="22"/>
      <c r="M157" s="26"/>
      <c r="N157" s="26"/>
      <c r="O157" s="22" t="s">
        <v>6</v>
      </c>
      <c r="Q157" s="1"/>
      <c r="R157" s="1"/>
      <c r="S157" s="1"/>
      <c r="T157" s="1"/>
      <c r="U157" s="1"/>
      <c r="V157" s="1"/>
      <c r="W157" s="1"/>
      <c r="X157" s="1"/>
      <c r="Y157" s="1"/>
    </row>
    <row r="158" spans="1:25" s="8" customFormat="1" ht="24.75" customHeight="1" hidden="1">
      <c r="A158" s="282" t="s">
        <v>136</v>
      </c>
      <c r="B158" s="282"/>
      <c r="C158" s="282"/>
      <c r="D158" s="282"/>
      <c r="E158" s="19" t="s">
        <v>120</v>
      </c>
      <c r="F158" s="19"/>
      <c r="G158" s="23"/>
      <c r="H158" s="71">
        <f t="shared" si="1"/>
        <v>0</v>
      </c>
      <c r="I158" s="26"/>
      <c r="J158" s="26"/>
      <c r="K158" s="26"/>
      <c r="L158" s="22"/>
      <c r="M158" s="26"/>
      <c r="N158" s="26"/>
      <c r="O158" s="22" t="s">
        <v>6</v>
      </c>
      <c r="Q158" s="1"/>
      <c r="R158" s="1"/>
      <c r="S158" s="1"/>
      <c r="T158" s="1"/>
      <c r="U158" s="1"/>
      <c r="V158" s="1"/>
      <c r="W158" s="1"/>
      <c r="X158" s="1"/>
      <c r="Y158" s="1"/>
    </row>
    <row r="159" spans="1:25" s="8" customFormat="1" ht="27" customHeight="1" hidden="1">
      <c r="A159" s="283" t="s">
        <v>137</v>
      </c>
      <c r="B159" s="283"/>
      <c r="C159" s="283"/>
      <c r="D159" s="283"/>
      <c r="E159" s="24" t="s">
        <v>121</v>
      </c>
      <c r="F159" s="24" t="s">
        <v>6</v>
      </c>
      <c r="G159" s="23"/>
      <c r="H159" s="71">
        <f t="shared" si="1"/>
        <v>0</v>
      </c>
      <c r="I159" s="26"/>
      <c r="J159" s="26"/>
      <c r="K159" s="26"/>
      <c r="L159" s="22"/>
      <c r="M159" s="26"/>
      <c r="N159" s="26"/>
      <c r="O159" s="22" t="s">
        <v>6</v>
      </c>
      <c r="Q159" s="1"/>
      <c r="R159" s="1"/>
      <c r="S159" s="1"/>
      <c r="T159" s="1"/>
      <c r="U159" s="1"/>
      <c r="V159" s="1"/>
      <c r="W159" s="1"/>
      <c r="X159" s="1"/>
      <c r="Y159" s="1"/>
    </row>
    <row r="160" spans="1:25" s="8" customFormat="1" ht="38.25" customHeight="1" hidden="1">
      <c r="A160" s="282" t="s">
        <v>122</v>
      </c>
      <c r="B160" s="282"/>
      <c r="C160" s="282"/>
      <c r="D160" s="282"/>
      <c r="E160" s="19" t="s">
        <v>123</v>
      </c>
      <c r="F160" s="19" t="s">
        <v>124</v>
      </c>
      <c r="G160" s="23"/>
      <c r="H160" s="71">
        <f t="shared" si="1"/>
        <v>0</v>
      </c>
      <c r="I160" s="26"/>
      <c r="J160" s="26"/>
      <c r="K160" s="26"/>
      <c r="L160" s="22"/>
      <c r="M160" s="26"/>
      <c r="N160" s="26"/>
      <c r="O160" s="22" t="s">
        <v>6</v>
      </c>
      <c r="Q160" s="1"/>
      <c r="R160" s="1"/>
      <c r="S160" s="1"/>
      <c r="T160" s="1"/>
      <c r="U160" s="1"/>
      <c r="V160" s="1"/>
      <c r="W160" s="1"/>
      <c r="X160" s="1"/>
      <c r="Y160" s="1"/>
    </row>
    <row r="161" ht="18.75" hidden="1"/>
    <row r="162" ht="18.75" hidden="1"/>
    <row r="163" spans="1:25" s="8" customFormat="1" ht="18.75" customHeight="1" hidden="1">
      <c r="A163" s="321" t="s">
        <v>0</v>
      </c>
      <c r="B163" s="321"/>
      <c r="C163" s="321"/>
      <c r="D163" s="321"/>
      <c r="E163" s="326" t="s">
        <v>1</v>
      </c>
      <c r="F163" s="326" t="s">
        <v>139</v>
      </c>
      <c r="G163" s="326" t="s">
        <v>128</v>
      </c>
      <c r="H163" s="321" t="s">
        <v>586</v>
      </c>
      <c r="I163" s="321"/>
      <c r="J163" s="321"/>
      <c r="K163" s="321"/>
      <c r="L163" s="321"/>
      <c r="M163" s="321"/>
      <c r="N163" s="321"/>
      <c r="O163" s="327" t="s">
        <v>2</v>
      </c>
      <c r="Q163" s="1"/>
      <c r="R163" s="1"/>
      <c r="S163" s="1"/>
      <c r="T163" s="1"/>
      <c r="U163" s="1"/>
      <c r="V163" s="1"/>
      <c r="W163" s="1"/>
      <c r="X163" s="1"/>
      <c r="Y163" s="1"/>
    </row>
    <row r="164" spans="1:25" s="8" customFormat="1" ht="20.25" customHeight="1" hidden="1">
      <c r="A164" s="321"/>
      <c r="B164" s="321"/>
      <c r="C164" s="321"/>
      <c r="D164" s="321"/>
      <c r="E164" s="326"/>
      <c r="F164" s="326"/>
      <c r="G164" s="326"/>
      <c r="H164" s="328" t="s">
        <v>587</v>
      </c>
      <c r="I164" s="328"/>
      <c r="J164" s="328"/>
      <c r="K164" s="328"/>
      <c r="L164" s="328"/>
      <c r="M164" s="328"/>
      <c r="N164" s="328"/>
      <c r="O164" s="327"/>
      <c r="Q164" s="1"/>
      <c r="R164" s="1"/>
      <c r="S164" s="1"/>
      <c r="T164" s="1"/>
      <c r="U164" s="1"/>
      <c r="V164" s="1"/>
      <c r="W164" s="1"/>
      <c r="X164" s="1"/>
      <c r="Y164" s="1"/>
    </row>
    <row r="165" spans="1:25" s="8" customFormat="1" ht="207.75" hidden="1">
      <c r="A165" s="321"/>
      <c r="B165" s="321"/>
      <c r="C165" s="321"/>
      <c r="D165" s="321"/>
      <c r="E165" s="326"/>
      <c r="F165" s="326"/>
      <c r="G165" s="326"/>
      <c r="H165" s="329" t="s">
        <v>130</v>
      </c>
      <c r="I165" s="330" t="s">
        <v>125</v>
      </c>
      <c r="J165" s="330" t="s">
        <v>126</v>
      </c>
      <c r="K165" s="330" t="s">
        <v>585</v>
      </c>
      <c r="L165" s="330" t="s">
        <v>138</v>
      </c>
      <c r="M165" s="330" t="s">
        <v>127</v>
      </c>
      <c r="N165" s="330" t="s">
        <v>268</v>
      </c>
      <c r="O165" s="327"/>
      <c r="Q165" s="1"/>
      <c r="R165" s="1"/>
      <c r="S165" s="1"/>
      <c r="T165" s="1"/>
      <c r="U165" s="1"/>
      <c r="V165" s="1"/>
      <c r="W165" s="1"/>
      <c r="X165" s="1"/>
      <c r="Y165" s="1"/>
    </row>
    <row r="166" spans="1:25" s="8" customFormat="1" ht="50.25" customHeight="1" hidden="1">
      <c r="A166" s="301" t="s">
        <v>271</v>
      </c>
      <c r="B166" s="302"/>
      <c r="C166" s="302"/>
      <c r="D166" s="303"/>
      <c r="E166" s="19" t="s">
        <v>145</v>
      </c>
      <c r="F166" s="32" t="s">
        <v>6</v>
      </c>
      <c r="G166" s="32" t="s">
        <v>6</v>
      </c>
      <c r="H166" s="71">
        <f>I166+J166+K166+L166+M166+N166</f>
        <v>0.0009800009429454803</v>
      </c>
      <c r="I166" s="26">
        <f>I188-I168</f>
        <v>0</v>
      </c>
      <c r="J166" s="26">
        <f>J188-J168</f>
        <v>0.0009800009429454803</v>
      </c>
      <c r="K166" s="26">
        <f>K188-K168</f>
        <v>0</v>
      </c>
      <c r="L166" s="69">
        <f>L188-L168</f>
        <v>0</v>
      </c>
      <c r="M166" s="26">
        <f>M124-M101</f>
        <v>0</v>
      </c>
      <c r="N166" s="26">
        <f>N124-N101</f>
        <v>0</v>
      </c>
      <c r="O166" s="69"/>
      <c r="Q166" s="1"/>
      <c r="R166" s="1"/>
      <c r="S166" s="1"/>
      <c r="T166" s="1"/>
      <c r="U166" s="1"/>
      <c r="V166" s="1"/>
      <c r="W166" s="1"/>
      <c r="X166" s="1"/>
      <c r="Y166" s="1"/>
    </row>
    <row r="167" spans="1:25" s="8" customFormat="1" ht="41.25" customHeight="1" hidden="1">
      <c r="A167" s="282" t="s">
        <v>272</v>
      </c>
      <c r="B167" s="282"/>
      <c r="C167" s="282"/>
      <c r="D167" s="282"/>
      <c r="E167" s="19" t="s">
        <v>146</v>
      </c>
      <c r="F167" s="32" t="s">
        <v>6</v>
      </c>
      <c r="G167" s="32" t="s">
        <v>6</v>
      </c>
      <c r="H167" s="71">
        <f>I167+J167+K167+L167+M167+N167</f>
        <v>0</v>
      </c>
      <c r="I167" s="26"/>
      <c r="J167" s="26"/>
      <c r="K167" s="26"/>
      <c r="L167" s="69"/>
      <c r="M167" s="26"/>
      <c r="N167" s="26"/>
      <c r="O167" s="26"/>
      <c r="Q167" s="1"/>
      <c r="R167" s="1"/>
      <c r="S167" s="1"/>
      <c r="T167" s="1"/>
      <c r="U167" s="1"/>
      <c r="V167" s="1"/>
      <c r="W167" s="1"/>
      <c r="X167" s="1"/>
      <c r="Y167" s="1"/>
    </row>
    <row r="168" spans="1:25" s="8" customFormat="1" ht="41.25" customHeight="1" hidden="1">
      <c r="A168" s="304" t="s">
        <v>289</v>
      </c>
      <c r="B168" s="305"/>
      <c r="C168" s="305"/>
      <c r="D168" s="306"/>
      <c r="E168" s="73" t="s">
        <v>290</v>
      </c>
      <c r="F168" s="73"/>
      <c r="G168" s="73" t="s">
        <v>117</v>
      </c>
      <c r="H168" s="71">
        <f>I168+J168+K168+L168+M168+N168+O168</f>
        <v>53595811.46</v>
      </c>
      <c r="I168" s="71">
        <f>I169</f>
        <v>37677000</v>
      </c>
      <c r="J168" s="71">
        <f>J169</f>
        <v>4738992</v>
      </c>
      <c r="K168" s="71">
        <f>K180</f>
        <v>9437953.46</v>
      </c>
      <c r="L168" s="72">
        <f>L180</f>
        <v>1201866</v>
      </c>
      <c r="M168" s="71">
        <f>M169</f>
        <v>540000</v>
      </c>
      <c r="N168" s="71">
        <f>N177</f>
        <v>0</v>
      </c>
      <c r="O168" s="7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s="8" customFormat="1" ht="42.75" customHeight="1" hidden="1">
      <c r="A169" s="286" t="s">
        <v>8</v>
      </c>
      <c r="B169" s="286"/>
      <c r="C169" s="286"/>
      <c r="D169" s="286"/>
      <c r="E169" s="32" t="s">
        <v>9</v>
      </c>
      <c r="F169" s="32" t="s">
        <v>10</v>
      </c>
      <c r="G169" s="36"/>
      <c r="H169" s="71">
        <f>I169+J169+K169+L169+M169+N169</f>
        <v>42955992</v>
      </c>
      <c r="I169" s="33">
        <f>I170</f>
        <v>37677000</v>
      </c>
      <c r="J169" s="33">
        <f>J170</f>
        <v>4738992</v>
      </c>
      <c r="K169" s="33"/>
      <c r="L169" s="67"/>
      <c r="M169" s="33">
        <f>M172</f>
        <v>540000</v>
      </c>
      <c r="N169" s="33"/>
      <c r="O169" s="33"/>
      <c r="Q169" s="1"/>
      <c r="R169" s="1"/>
      <c r="S169" s="1"/>
      <c r="T169" s="1"/>
      <c r="U169" s="1"/>
      <c r="V169" s="1"/>
      <c r="W169" s="1"/>
      <c r="X169" s="1"/>
      <c r="Y169" s="1"/>
    </row>
    <row r="170" spans="1:25" s="8" customFormat="1" ht="127.5" customHeight="1" hidden="1">
      <c r="A170" s="282" t="s">
        <v>11</v>
      </c>
      <c r="B170" s="282"/>
      <c r="C170" s="282"/>
      <c r="D170" s="282"/>
      <c r="E170" s="19" t="s">
        <v>12</v>
      </c>
      <c r="F170" s="19" t="s">
        <v>10</v>
      </c>
      <c r="G170" s="23">
        <v>131</v>
      </c>
      <c r="H170" s="71">
        <f aca="true" t="shared" si="2" ref="H170:H228">I170+J170+K170+L170+M170+N170</f>
        <v>42415992</v>
      </c>
      <c r="I170" s="26">
        <v>37677000</v>
      </c>
      <c r="J170" s="26">
        <f>4804392-65400</f>
        <v>4738992</v>
      </c>
      <c r="K170" s="26"/>
      <c r="L170" s="69"/>
      <c r="M170" s="26"/>
      <c r="N170" s="26"/>
      <c r="O170" s="26"/>
      <c r="Q170" s="1"/>
      <c r="R170" s="1"/>
      <c r="S170" s="1"/>
      <c r="T170" s="1"/>
      <c r="U170" s="1"/>
      <c r="V170" s="1"/>
      <c r="W170" s="1"/>
      <c r="X170" s="1"/>
      <c r="Y170" s="1"/>
    </row>
    <row r="171" spans="1:25" s="8" customFormat="1" ht="91.5" customHeight="1" hidden="1">
      <c r="A171" s="282" t="s">
        <v>14</v>
      </c>
      <c r="B171" s="282"/>
      <c r="C171" s="282"/>
      <c r="D171" s="282"/>
      <c r="E171" s="19" t="s">
        <v>13</v>
      </c>
      <c r="F171" s="19" t="s">
        <v>10</v>
      </c>
      <c r="G171" s="23">
        <v>131</v>
      </c>
      <c r="H171" s="71">
        <f t="shared" si="2"/>
        <v>0</v>
      </c>
      <c r="I171" s="26"/>
      <c r="J171" s="26"/>
      <c r="K171" s="26"/>
      <c r="L171" s="69"/>
      <c r="M171" s="26"/>
      <c r="N171" s="26"/>
      <c r="O171" s="26"/>
      <c r="Q171" s="1"/>
      <c r="R171" s="1"/>
      <c r="S171" s="1"/>
      <c r="T171" s="1"/>
      <c r="U171" s="1"/>
      <c r="V171" s="1"/>
      <c r="W171" s="1"/>
      <c r="X171" s="1"/>
      <c r="Y171" s="1"/>
    </row>
    <row r="172" spans="1:25" s="8" customFormat="1" ht="25.5" customHeight="1" hidden="1">
      <c r="A172" s="284" t="s">
        <v>277</v>
      </c>
      <c r="B172" s="284"/>
      <c r="C172" s="284"/>
      <c r="D172" s="284"/>
      <c r="E172" s="19" t="s">
        <v>275</v>
      </c>
      <c r="F172" s="19" t="s">
        <v>10</v>
      </c>
      <c r="G172" s="23">
        <v>131</v>
      </c>
      <c r="H172" s="71">
        <f>I172+J172+K172+L172+M172+N172</f>
        <v>540000</v>
      </c>
      <c r="I172" s="26"/>
      <c r="J172" s="26"/>
      <c r="K172" s="26"/>
      <c r="L172" s="69"/>
      <c r="M172" s="26">
        <v>540000</v>
      </c>
      <c r="N172" s="26"/>
      <c r="O172" s="26"/>
      <c r="Q172" s="1"/>
      <c r="R172" s="1"/>
      <c r="S172" s="1"/>
      <c r="T172" s="1"/>
      <c r="U172" s="1"/>
      <c r="V172" s="1"/>
      <c r="W172" s="1"/>
      <c r="X172" s="1"/>
      <c r="Y172" s="1"/>
    </row>
    <row r="173" spans="1:25" s="8" customFormat="1" ht="54.75" customHeight="1" hidden="1">
      <c r="A173" s="282" t="s">
        <v>15</v>
      </c>
      <c r="B173" s="282"/>
      <c r="C173" s="282"/>
      <c r="D173" s="282"/>
      <c r="E173" s="19" t="s">
        <v>16</v>
      </c>
      <c r="F173" s="19" t="s">
        <v>17</v>
      </c>
      <c r="G173" s="23"/>
      <c r="H173" s="71">
        <f t="shared" si="2"/>
        <v>0</v>
      </c>
      <c r="I173" s="26"/>
      <c r="J173" s="26"/>
      <c r="K173" s="26"/>
      <c r="L173" s="69"/>
      <c r="M173" s="26"/>
      <c r="N173" s="26"/>
      <c r="O173" s="26"/>
      <c r="Q173" s="1"/>
      <c r="R173" s="1"/>
      <c r="S173" s="1"/>
      <c r="T173" s="1"/>
      <c r="U173" s="1"/>
      <c r="V173" s="1"/>
      <c r="W173" s="1"/>
      <c r="X173" s="1"/>
      <c r="Y173" s="1"/>
    </row>
    <row r="174" spans="1:25" s="8" customFormat="1" ht="19.5" hidden="1">
      <c r="A174" s="284" t="s">
        <v>7</v>
      </c>
      <c r="B174" s="284"/>
      <c r="C174" s="284"/>
      <c r="D174" s="284"/>
      <c r="E174" s="19" t="s">
        <v>18</v>
      </c>
      <c r="F174" s="19" t="s">
        <v>17</v>
      </c>
      <c r="G174" s="23"/>
      <c r="H174" s="71">
        <f t="shared" si="2"/>
        <v>0</v>
      </c>
      <c r="I174" s="26"/>
      <c r="J174" s="331"/>
      <c r="K174" s="331"/>
      <c r="L174" s="69"/>
      <c r="M174" s="331"/>
      <c r="N174" s="331"/>
      <c r="O174" s="26"/>
      <c r="Q174" s="1"/>
      <c r="R174" s="1"/>
      <c r="S174" s="1"/>
      <c r="T174" s="1"/>
      <c r="U174" s="1"/>
      <c r="V174" s="1"/>
      <c r="W174" s="1"/>
      <c r="X174" s="1"/>
      <c r="Y174" s="1"/>
    </row>
    <row r="175" spans="1:25" s="8" customFormat="1" ht="44.25" customHeight="1" hidden="1">
      <c r="A175" s="282" t="s">
        <v>19</v>
      </c>
      <c r="B175" s="282"/>
      <c r="C175" s="282"/>
      <c r="D175" s="282"/>
      <c r="E175" s="19" t="s">
        <v>20</v>
      </c>
      <c r="F175" s="19" t="s">
        <v>21</v>
      </c>
      <c r="G175" s="23">
        <v>155</v>
      </c>
      <c r="H175" s="71">
        <f t="shared" si="2"/>
        <v>0</v>
      </c>
      <c r="I175" s="26"/>
      <c r="J175" s="26"/>
      <c r="K175" s="26"/>
      <c r="L175" s="69"/>
      <c r="M175" s="26"/>
      <c r="N175" s="26"/>
      <c r="O175" s="26"/>
      <c r="Q175" s="1"/>
      <c r="R175" s="1"/>
      <c r="S175" s="1"/>
      <c r="T175" s="1"/>
      <c r="U175" s="1"/>
      <c r="V175" s="1"/>
      <c r="W175" s="1"/>
      <c r="X175" s="1"/>
      <c r="Y175" s="1"/>
    </row>
    <row r="176" spans="1:25" s="8" customFormat="1" ht="19.5" hidden="1">
      <c r="A176" s="284" t="s">
        <v>7</v>
      </c>
      <c r="B176" s="284"/>
      <c r="C176" s="284"/>
      <c r="D176" s="284"/>
      <c r="E176" s="19"/>
      <c r="F176" s="19"/>
      <c r="G176" s="23"/>
      <c r="H176" s="71">
        <f t="shared" si="2"/>
        <v>0</v>
      </c>
      <c r="I176" s="26"/>
      <c r="J176" s="331"/>
      <c r="K176" s="331"/>
      <c r="L176" s="69"/>
      <c r="M176" s="331"/>
      <c r="N176" s="331"/>
      <c r="O176" s="26"/>
      <c r="Q176" s="1"/>
      <c r="R176" s="1"/>
      <c r="S176" s="1"/>
      <c r="T176" s="1"/>
      <c r="U176" s="1"/>
      <c r="V176" s="1"/>
      <c r="W176" s="1"/>
      <c r="X176" s="1"/>
      <c r="Y176" s="1"/>
    </row>
    <row r="177" spans="1:25" s="8" customFormat="1" ht="19.5" hidden="1">
      <c r="A177" s="284" t="s">
        <v>268</v>
      </c>
      <c r="B177" s="284"/>
      <c r="C177" s="284"/>
      <c r="D177" s="284"/>
      <c r="E177" s="19" t="s">
        <v>273</v>
      </c>
      <c r="F177" s="19" t="s">
        <v>21</v>
      </c>
      <c r="G177" s="23">
        <v>155</v>
      </c>
      <c r="H177" s="71">
        <f t="shared" si="2"/>
        <v>0</v>
      </c>
      <c r="I177" s="331"/>
      <c r="J177" s="331"/>
      <c r="K177" s="331"/>
      <c r="L177" s="69"/>
      <c r="M177" s="331"/>
      <c r="N177" s="69">
        <v>0</v>
      </c>
      <c r="O177" s="33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s="8" customFormat="1" ht="22.5" customHeight="1" hidden="1">
      <c r="A178" s="282" t="s">
        <v>22</v>
      </c>
      <c r="B178" s="282"/>
      <c r="C178" s="282"/>
      <c r="D178" s="282"/>
      <c r="E178" s="19" t="s">
        <v>23</v>
      </c>
      <c r="F178" s="19" t="s">
        <v>24</v>
      </c>
      <c r="G178" s="23"/>
      <c r="H178" s="71">
        <f>I178+J178+K178+L178+M178+N178</f>
        <v>10639819.46</v>
      </c>
      <c r="I178" s="26"/>
      <c r="J178" s="26"/>
      <c r="K178" s="26">
        <f>K180</f>
        <v>9437953.46</v>
      </c>
      <c r="L178" s="69">
        <f>L180</f>
        <v>1201866</v>
      </c>
      <c r="M178" s="26"/>
      <c r="N178" s="26"/>
      <c r="O178" s="26"/>
      <c r="Q178" s="1"/>
      <c r="R178" s="1"/>
      <c r="S178" s="1"/>
      <c r="T178" s="1"/>
      <c r="U178" s="1"/>
      <c r="V178" s="1"/>
      <c r="W178" s="1"/>
      <c r="X178" s="1"/>
      <c r="Y178" s="1"/>
    </row>
    <row r="179" spans="1:25" s="8" customFormat="1" ht="25.5" customHeight="1" hidden="1">
      <c r="A179" s="284" t="s">
        <v>7</v>
      </c>
      <c r="B179" s="284"/>
      <c r="C179" s="284"/>
      <c r="D179" s="284"/>
      <c r="E179" s="19" t="s">
        <v>26</v>
      </c>
      <c r="F179" s="19" t="s">
        <v>24</v>
      </c>
      <c r="G179" s="23"/>
      <c r="H179" s="71">
        <f t="shared" si="2"/>
        <v>0</v>
      </c>
      <c r="I179" s="26"/>
      <c r="J179" s="331"/>
      <c r="K179" s="69"/>
      <c r="L179" s="69"/>
      <c r="M179" s="331"/>
      <c r="N179" s="331"/>
      <c r="O179" s="26"/>
      <c r="Q179" s="1"/>
      <c r="R179" s="1"/>
      <c r="S179" s="1"/>
      <c r="T179" s="1"/>
      <c r="U179" s="1"/>
      <c r="V179" s="1"/>
      <c r="W179" s="1"/>
      <c r="X179" s="1"/>
      <c r="Y179" s="1"/>
    </row>
    <row r="180" spans="1:25" s="8" customFormat="1" ht="19.5" hidden="1">
      <c r="A180" s="284" t="s">
        <v>25</v>
      </c>
      <c r="B180" s="284"/>
      <c r="C180" s="284"/>
      <c r="D180" s="284"/>
      <c r="E180" s="19" t="s">
        <v>28</v>
      </c>
      <c r="F180" s="340" t="s">
        <v>24</v>
      </c>
      <c r="G180" s="23">
        <v>152</v>
      </c>
      <c r="H180" s="71">
        <f t="shared" si="2"/>
        <v>10639819.46</v>
      </c>
      <c r="I180" s="331"/>
      <c r="J180" s="331"/>
      <c r="K180" s="333">
        <f>50000+5097700+3202900+832400+254953.46</f>
        <v>9437953.46</v>
      </c>
      <c r="L180" s="69">
        <f>46300+238200+151400+84500+344400+337066</f>
        <v>1201866</v>
      </c>
      <c r="M180" s="331"/>
      <c r="N180" s="331"/>
      <c r="O180" s="33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s="8" customFormat="1" ht="19.5" hidden="1">
      <c r="A181" s="341" t="s">
        <v>274</v>
      </c>
      <c r="B181" s="342"/>
      <c r="C181" s="342"/>
      <c r="D181" s="343"/>
      <c r="E181" s="19"/>
      <c r="F181" s="340" t="s">
        <v>24</v>
      </c>
      <c r="G181" s="23"/>
      <c r="H181" s="71">
        <f t="shared" si="2"/>
        <v>0</v>
      </c>
      <c r="I181" s="331"/>
      <c r="J181" s="331"/>
      <c r="K181" s="333"/>
      <c r="L181" s="69"/>
      <c r="M181" s="331"/>
      <c r="N181" s="331"/>
      <c r="O181" s="33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s="8" customFormat="1" ht="40.5" customHeight="1" hidden="1">
      <c r="A182" s="282" t="s">
        <v>27</v>
      </c>
      <c r="B182" s="282"/>
      <c r="C182" s="282"/>
      <c r="D182" s="282"/>
      <c r="E182" s="19" t="s">
        <v>367</v>
      </c>
      <c r="F182" s="19" t="s">
        <v>24</v>
      </c>
      <c r="G182" s="23"/>
      <c r="H182" s="71">
        <f t="shared" si="2"/>
        <v>0</v>
      </c>
      <c r="I182" s="26"/>
      <c r="J182" s="26"/>
      <c r="K182" s="26"/>
      <c r="L182" s="69"/>
      <c r="M182" s="26"/>
      <c r="N182" s="26"/>
      <c r="O182" s="26"/>
      <c r="Q182" s="1"/>
      <c r="R182" s="1"/>
      <c r="S182" s="1"/>
      <c r="T182" s="1"/>
      <c r="U182" s="1"/>
      <c r="V182" s="1"/>
      <c r="W182" s="1"/>
      <c r="X182" s="1"/>
      <c r="Y182" s="1"/>
    </row>
    <row r="183" spans="1:25" s="8" customFormat="1" ht="27" customHeight="1" hidden="1">
      <c r="A183" s="282" t="s">
        <v>29</v>
      </c>
      <c r="B183" s="282"/>
      <c r="C183" s="282"/>
      <c r="D183" s="282"/>
      <c r="E183" s="19" t="s">
        <v>30</v>
      </c>
      <c r="F183" s="19"/>
      <c r="G183" s="23"/>
      <c r="H183" s="71">
        <f t="shared" si="2"/>
        <v>0</v>
      </c>
      <c r="I183" s="26"/>
      <c r="J183" s="26"/>
      <c r="K183" s="26"/>
      <c r="L183" s="69"/>
      <c r="M183" s="26"/>
      <c r="N183" s="26"/>
      <c r="O183" s="26"/>
      <c r="Q183" s="1"/>
      <c r="R183" s="1"/>
      <c r="S183" s="1"/>
      <c r="T183" s="1"/>
      <c r="U183" s="1"/>
      <c r="V183" s="1"/>
      <c r="W183" s="1"/>
      <c r="X183" s="1"/>
      <c r="Y183" s="1"/>
    </row>
    <row r="184" spans="1:25" s="8" customFormat="1" ht="23.25" customHeight="1" hidden="1">
      <c r="A184" s="284" t="s">
        <v>7</v>
      </c>
      <c r="B184" s="284"/>
      <c r="C184" s="284"/>
      <c r="D184" s="284"/>
      <c r="E184" s="19"/>
      <c r="F184" s="19"/>
      <c r="G184" s="23"/>
      <c r="H184" s="71">
        <f t="shared" si="2"/>
        <v>0</v>
      </c>
      <c r="I184" s="26"/>
      <c r="J184" s="331"/>
      <c r="K184" s="331"/>
      <c r="L184" s="69"/>
      <c r="M184" s="331"/>
      <c r="N184" s="331"/>
      <c r="O184" s="26"/>
      <c r="Q184" s="1"/>
      <c r="R184" s="1"/>
      <c r="S184" s="1"/>
      <c r="T184" s="1"/>
      <c r="U184" s="1"/>
      <c r="V184" s="1"/>
      <c r="W184" s="1"/>
      <c r="X184" s="1"/>
      <c r="Y184" s="1"/>
    </row>
    <row r="185" spans="1:25" s="8" customFormat="1" ht="23.25" customHeight="1" hidden="1">
      <c r="A185" s="341"/>
      <c r="B185" s="342"/>
      <c r="C185" s="342"/>
      <c r="D185" s="343"/>
      <c r="E185" s="19"/>
      <c r="F185" s="19"/>
      <c r="G185" s="23"/>
      <c r="H185" s="71">
        <f t="shared" si="2"/>
        <v>0</v>
      </c>
      <c r="I185" s="26"/>
      <c r="J185" s="331"/>
      <c r="K185" s="331"/>
      <c r="L185" s="69"/>
      <c r="M185" s="331"/>
      <c r="N185" s="331"/>
      <c r="O185" s="26"/>
      <c r="Q185" s="1"/>
      <c r="R185" s="1"/>
      <c r="S185" s="1"/>
      <c r="T185" s="1"/>
      <c r="U185" s="1"/>
      <c r="V185" s="1"/>
      <c r="W185" s="1"/>
      <c r="X185" s="1"/>
      <c r="Y185" s="1"/>
    </row>
    <row r="186" spans="1:25" s="8" customFormat="1" ht="25.5" customHeight="1" hidden="1">
      <c r="A186" s="282" t="s">
        <v>131</v>
      </c>
      <c r="B186" s="282"/>
      <c r="C186" s="282"/>
      <c r="D186" s="282"/>
      <c r="E186" s="19" t="s">
        <v>31</v>
      </c>
      <c r="F186" s="19" t="s">
        <v>6</v>
      </c>
      <c r="G186" s="23"/>
      <c r="H186" s="71">
        <f t="shared" si="2"/>
        <v>0</v>
      </c>
      <c r="I186" s="26"/>
      <c r="J186" s="26"/>
      <c r="K186" s="26"/>
      <c r="L186" s="69"/>
      <c r="M186" s="26"/>
      <c r="N186" s="26"/>
      <c r="O186" s="26"/>
      <c r="Q186" s="1"/>
      <c r="R186" s="1"/>
      <c r="S186" s="1"/>
      <c r="T186" s="1"/>
      <c r="U186" s="1"/>
      <c r="V186" s="1"/>
      <c r="W186" s="1"/>
      <c r="X186" s="1"/>
      <c r="Y186" s="1"/>
    </row>
    <row r="187" spans="1:25" s="8" customFormat="1" ht="90" customHeight="1" hidden="1">
      <c r="A187" s="282" t="s">
        <v>32</v>
      </c>
      <c r="B187" s="282"/>
      <c r="C187" s="282"/>
      <c r="D187" s="282"/>
      <c r="E187" s="19" t="s">
        <v>33</v>
      </c>
      <c r="F187" s="19" t="s">
        <v>34</v>
      </c>
      <c r="G187" s="23"/>
      <c r="H187" s="71">
        <f t="shared" si="2"/>
        <v>0</v>
      </c>
      <c r="I187" s="26"/>
      <c r="J187" s="26"/>
      <c r="K187" s="26"/>
      <c r="L187" s="69"/>
      <c r="M187" s="26"/>
      <c r="N187" s="26"/>
      <c r="O187" s="69" t="s">
        <v>6</v>
      </c>
      <c r="Q187" s="1"/>
      <c r="R187" s="1"/>
      <c r="S187" s="1"/>
      <c r="T187" s="1"/>
      <c r="U187" s="1"/>
      <c r="V187" s="1"/>
      <c r="W187" s="1"/>
      <c r="X187" s="1"/>
      <c r="Y187" s="1"/>
    </row>
    <row r="188" spans="1:25" s="8" customFormat="1" ht="24" customHeight="1" hidden="1">
      <c r="A188" s="288" t="s">
        <v>35</v>
      </c>
      <c r="B188" s="288"/>
      <c r="C188" s="288"/>
      <c r="D188" s="288"/>
      <c r="E188" s="75" t="s">
        <v>36</v>
      </c>
      <c r="F188" s="75" t="s">
        <v>6</v>
      </c>
      <c r="G188" s="74"/>
      <c r="H188" s="71">
        <f t="shared" si="2"/>
        <v>53595811.460980006</v>
      </c>
      <c r="I188" s="71">
        <f aca="true" t="shared" si="3" ref="I188:N188">I189+I203+I213</f>
        <v>37677000</v>
      </c>
      <c r="J188" s="71">
        <f t="shared" si="3"/>
        <v>4738992.000980001</v>
      </c>
      <c r="K188" s="71">
        <f t="shared" si="3"/>
        <v>9437953.46</v>
      </c>
      <c r="L188" s="71">
        <f>L189+L203+L213+L198</f>
        <v>1201866</v>
      </c>
      <c r="M188" s="71">
        <f t="shared" si="3"/>
        <v>540000</v>
      </c>
      <c r="N188" s="71">
        <f t="shared" si="3"/>
        <v>0</v>
      </c>
      <c r="O188" s="72"/>
      <c r="Q188" s="344">
        <f>H169+H173+H175+H178+H183</f>
        <v>53595811.46</v>
      </c>
      <c r="R188" s="1"/>
      <c r="S188" s="1"/>
      <c r="T188" s="1"/>
      <c r="U188" s="1"/>
      <c r="V188" s="1"/>
      <c r="W188" s="1"/>
      <c r="X188" s="1"/>
      <c r="Y188" s="1"/>
    </row>
    <row r="189" spans="1:25" s="8" customFormat="1" ht="46.5" customHeight="1" hidden="1">
      <c r="A189" s="282" t="s">
        <v>37</v>
      </c>
      <c r="B189" s="282"/>
      <c r="C189" s="282"/>
      <c r="D189" s="282"/>
      <c r="E189" s="19" t="s">
        <v>38</v>
      </c>
      <c r="F189" s="19" t="s">
        <v>6</v>
      </c>
      <c r="G189" s="30"/>
      <c r="H189" s="71">
        <f t="shared" si="2"/>
        <v>40349883.4</v>
      </c>
      <c r="I189" s="26">
        <f>I190+I191+I193</f>
        <v>36467730</v>
      </c>
      <c r="J189" s="26">
        <f>J190+J191+J193</f>
        <v>679253.4</v>
      </c>
      <c r="K189" s="26">
        <f>K191+K190+K193</f>
        <v>3202900</v>
      </c>
      <c r="L189" s="69"/>
      <c r="M189" s="26"/>
      <c r="N189" s="26"/>
      <c r="O189" s="69" t="s">
        <v>6</v>
      </c>
      <c r="Q189" s="1"/>
      <c r="R189" s="1"/>
      <c r="S189" s="1"/>
      <c r="T189" s="1"/>
      <c r="U189" s="1"/>
      <c r="V189" s="1"/>
      <c r="W189" s="1"/>
      <c r="X189" s="1"/>
      <c r="Y189" s="1"/>
    </row>
    <row r="190" spans="1:25" s="8" customFormat="1" ht="45.75" customHeight="1" hidden="1">
      <c r="A190" s="282" t="s">
        <v>39</v>
      </c>
      <c r="B190" s="282"/>
      <c r="C190" s="282"/>
      <c r="D190" s="282"/>
      <c r="E190" s="19" t="s">
        <v>40</v>
      </c>
      <c r="F190" s="19" t="s">
        <v>41</v>
      </c>
      <c r="G190" s="23">
        <v>211.266</v>
      </c>
      <c r="H190" s="71">
        <f t="shared" si="2"/>
        <v>30979572.5</v>
      </c>
      <c r="I190" s="26">
        <f>J1435</f>
        <v>27997872.5</v>
      </c>
      <c r="J190" s="26">
        <f>J1533</f>
        <v>521700</v>
      </c>
      <c r="K190" s="26">
        <f>J1672</f>
        <v>2460000</v>
      </c>
      <c r="L190" s="69"/>
      <c r="M190" s="26"/>
      <c r="N190" s="26"/>
      <c r="O190" s="69" t="s">
        <v>6</v>
      </c>
      <c r="Q190" s="1"/>
      <c r="R190" s="1"/>
      <c r="S190" s="1"/>
      <c r="T190" s="1"/>
      <c r="U190" s="1"/>
      <c r="V190" s="1"/>
      <c r="W190" s="1"/>
      <c r="X190" s="1"/>
      <c r="Y190" s="1"/>
    </row>
    <row r="191" spans="1:25" s="8" customFormat="1" ht="48.75" customHeight="1" hidden="1">
      <c r="A191" s="282" t="s">
        <v>42</v>
      </c>
      <c r="B191" s="282"/>
      <c r="C191" s="282"/>
      <c r="D191" s="282"/>
      <c r="E191" s="19" t="s">
        <v>43</v>
      </c>
      <c r="F191" s="19" t="s">
        <v>44</v>
      </c>
      <c r="G191" s="23" t="s">
        <v>325</v>
      </c>
      <c r="H191" s="71">
        <f t="shared" si="2"/>
        <v>14500</v>
      </c>
      <c r="I191" s="26">
        <f>K1470+J1463+J1456</f>
        <v>14500</v>
      </c>
      <c r="J191" s="26"/>
      <c r="K191" s="26"/>
      <c r="L191" s="69"/>
      <c r="M191" s="26"/>
      <c r="N191" s="26"/>
      <c r="O191" s="69" t="s">
        <v>6</v>
      </c>
      <c r="Q191" s="1"/>
      <c r="R191" s="1"/>
      <c r="S191" s="1"/>
      <c r="T191" s="1"/>
      <c r="U191" s="1"/>
      <c r="V191" s="1"/>
      <c r="W191" s="1"/>
      <c r="X191" s="1"/>
      <c r="Y191" s="1"/>
    </row>
    <row r="192" spans="1:25" s="8" customFormat="1" ht="66" customHeight="1" hidden="1">
      <c r="A192" s="282" t="s">
        <v>45</v>
      </c>
      <c r="B192" s="282"/>
      <c r="C192" s="282"/>
      <c r="D192" s="282"/>
      <c r="E192" s="19" t="s">
        <v>46</v>
      </c>
      <c r="F192" s="19" t="s">
        <v>47</v>
      </c>
      <c r="G192" s="23"/>
      <c r="H192" s="71">
        <f t="shared" si="2"/>
        <v>0</v>
      </c>
      <c r="I192" s="26"/>
      <c r="J192" s="26"/>
      <c r="K192" s="26"/>
      <c r="L192" s="69"/>
      <c r="M192" s="26"/>
      <c r="N192" s="26"/>
      <c r="O192" s="69" t="s">
        <v>6</v>
      </c>
      <c r="Q192" s="1"/>
      <c r="R192" s="1"/>
      <c r="S192" s="1"/>
      <c r="T192" s="1"/>
      <c r="U192" s="1"/>
      <c r="V192" s="1"/>
      <c r="W192" s="1"/>
      <c r="X192" s="1"/>
      <c r="Y192" s="1"/>
    </row>
    <row r="193" spans="1:25" s="8" customFormat="1" ht="78.75" customHeight="1" hidden="1">
      <c r="A193" s="282" t="s">
        <v>48</v>
      </c>
      <c r="B193" s="282"/>
      <c r="C193" s="282"/>
      <c r="D193" s="282"/>
      <c r="E193" s="19" t="s">
        <v>49</v>
      </c>
      <c r="F193" s="19" t="s">
        <v>50</v>
      </c>
      <c r="G193" s="23">
        <v>213</v>
      </c>
      <c r="H193" s="71">
        <f t="shared" si="2"/>
        <v>9355810.9</v>
      </c>
      <c r="I193" s="26">
        <f>I1449</f>
        <v>8455357.5</v>
      </c>
      <c r="J193" s="26">
        <f>I1540</f>
        <v>157553.4</v>
      </c>
      <c r="K193" s="26">
        <f>I1679</f>
        <v>742900</v>
      </c>
      <c r="L193" s="69"/>
      <c r="M193" s="26"/>
      <c r="N193" s="26"/>
      <c r="O193" s="69" t="s">
        <v>6</v>
      </c>
      <c r="Q193" s="1"/>
      <c r="R193" s="1"/>
      <c r="S193" s="1"/>
      <c r="T193" s="1"/>
      <c r="U193" s="1"/>
      <c r="V193" s="1"/>
      <c r="W193" s="1"/>
      <c r="X193" s="1"/>
      <c r="Y193" s="1"/>
    </row>
    <row r="194" spans="1:25" s="8" customFormat="1" ht="38.25" customHeight="1" hidden="1">
      <c r="A194" s="282" t="s">
        <v>51</v>
      </c>
      <c r="B194" s="282"/>
      <c r="C194" s="282"/>
      <c r="D194" s="282"/>
      <c r="E194" s="19" t="s">
        <v>52</v>
      </c>
      <c r="F194" s="19" t="s">
        <v>50</v>
      </c>
      <c r="G194" s="23"/>
      <c r="H194" s="71">
        <f t="shared" si="2"/>
        <v>0</v>
      </c>
      <c r="I194" s="26"/>
      <c r="J194" s="26"/>
      <c r="K194" s="26"/>
      <c r="L194" s="69"/>
      <c r="M194" s="26"/>
      <c r="N194" s="26"/>
      <c r="O194" s="69" t="s">
        <v>6</v>
      </c>
      <c r="Q194" s="1"/>
      <c r="R194" s="1"/>
      <c r="S194" s="1"/>
      <c r="T194" s="1"/>
      <c r="U194" s="1"/>
      <c r="V194" s="1"/>
      <c r="W194" s="1"/>
      <c r="X194" s="1"/>
      <c r="Y194" s="1"/>
    </row>
    <row r="195" spans="1:25" s="8" customFormat="1" ht="30" customHeight="1" hidden="1">
      <c r="A195" s="282" t="s">
        <v>53</v>
      </c>
      <c r="B195" s="282"/>
      <c r="C195" s="282"/>
      <c r="D195" s="282"/>
      <c r="E195" s="19" t="s">
        <v>54</v>
      </c>
      <c r="F195" s="19" t="s">
        <v>50</v>
      </c>
      <c r="G195" s="23"/>
      <c r="H195" s="71">
        <f t="shared" si="2"/>
        <v>0</v>
      </c>
      <c r="I195" s="26"/>
      <c r="J195" s="26"/>
      <c r="K195" s="26"/>
      <c r="L195" s="69"/>
      <c r="M195" s="26"/>
      <c r="N195" s="26"/>
      <c r="O195" s="69" t="s">
        <v>6</v>
      </c>
      <c r="Q195" s="1"/>
      <c r="R195" s="1"/>
      <c r="S195" s="1"/>
      <c r="T195" s="1"/>
      <c r="U195" s="1"/>
      <c r="V195" s="1"/>
      <c r="W195" s="1"/>
      <c r="X195" s="1"/>
      <c r="Y195" s="1"/>
    </row>
    <row r="196" spans="1:25" s="8" customFormat="1" ht="94.5" customHeight="1" hidden="1">
      <c r="A196" s="282" t="s">
        <v>55</v>
      </c>
      <c r="B196" s="282"/>
      <c r="C196" s="282"/>
      <c r="D196" s="282"/>
      <c r="E196" s="19" t="s">
        <v>56</v>
      </c>
      <c r="F196" s="19" t="s">
        <v>57</v>
      </c>
      <c r="G196" s="23"/>
      <c r="H196" s="71">
        <f t="shared" si="2"/>
        <v>0</v>
      </c>
      <c r="I196" s="26"/>
      <c r="J196" s="26"/>
      <c r="K196" s="26"/>
      <c r="L196" s="69"/>
      <c r="M196" s="26"/>
      <c r="N196" s="26"/>
      <c r="O196" s="69" t="s">
        <v>6</v>
      </c>
      <c r="Q196" s="1"/>
      <c r="R196" s="1"/>
      <c r="S196" s="1"/>
      <c r="T196" s="1"/>
      <c r="U196" s="1"/>
      <c r="V196" s="1"/>
      <c r="W196" s="1"/>
      <c r="X196" s="1"/>
      <c r="Y196" s="1"/>
    </row>
    <row r="197" spans="1:25" s="8" customFormat="1" ht="53.25" customHeight="1" hidden="1">
      <c r="A197" s="282" t="s">
        <v>58</v>
      </c>
      <c r="B197" s="282"/>
      <c r="C197" s="282"/>
      <c r="D197" s="282"/>
      <c r="E197" s="19" t="s">
        <v>59</v>
      </c>
      <c r="F197" s="19" t="s">
        <v>60</v>
      </c>
      <c r="G197" s="23"/>
      <c r="H197" s="71">
        <f t="shared" si="2"/>
        <v>0</v>
      </c>
      <c r="I197" s="26"/>
      <c r="J197" s="26"/>
      <c r="K197" s="26"/>
      <c r="L197" s="69"/>
      <c r="M197" s="26"/>
      <c r="N197" s="26"/>
      <c r="O197" s="69" t="s">
        <v>6</v>
      </c>
      <c r="Q197" s="1"/>
      <c r="R197" s="1"/>
      <c r="S197" s="1"/>
      <c r="T197" s="1"/>
      <c r="U197" s="1"/>
      <c r="V197" s="1"/>
      <c r="W197" s="1"/>
      <c r="X197" s="1"/>
      <c r="Y197" s="1"/>
    </row>
    <row r="198" spans="1:25" s="8" customFormat="1" ht="86.25" customHeight="1" hidden="1">
      <c r="A198" s="282" t="s">
        <v>61</v>
      </c>
      <c r="B198" s="282"/>
      <c r="C198" s="282"/>
      <c r="D198" s="282"/>
      <c r="E198" s="19" t="s">
        <v>62</v>
      </c>
      <c r="F198" s="19" t="s">
        <v>63</v>
      </c>
      <c r="G198" s="23"/>
      <c r="H198" s="71">
        <f t="shared" si="2"/>
        <v>84500</v>
      </c>
      <c r="I198" s="26"/>
      <c r="J198" s="26"/>
      <c r="K198" s="26"/>
      <c r="L198" s="69">
        <f>L199</f>
        <v>84500</v>
      </c>
      <c r="M198" s="26"/>
      <c r="N198" s="26"/>
      <c r="O198" s="69" t="s">
        <v>6</v>
      </c>
      <c r="Q198" s="1"/>
      <c r="R198" s="1"/>
      <c r="S198" s="1"/>
      <c r="T198" s="1"/>
      <c r="U198" s="1"/>
      <c r="V198" s="1"/>
      <c r="W198" s="1"/>
      <c r="X198" s="1"/>
      <c r="Y198" s="1"/>
    </row>
    <row r="199" spans="1:25" s="8" customFormat="1" ht="87" customHeight="1" hidden="1">
      <c r="A199" s="282" t="s">
        <v>64</v>
      </c>
      <c r="B199" s="282"/>
      <c r="C199" s="282"/>
      <c r="D199" s="282"/>
      <c r="E199" s="19" t="s">
        <v>65</v>
      </c>
      <c r="F199" s="19" t="s">
        <v>66</v>
      </c>
      <c r="G199" s="23"/>
      <c r="H199" s="71">
        <f t="shared" si="2"/>
        <v>84500</v>
      </c>
      <c r="I199" s="26"/>
      <c r="J199" s="26"/>
      <c r="K199" s="26"/>
      <c r="L199" s="69">
        <f>H1755</f>
        <v>84500</v>
      </c>
      <c r="M199" s="26"/>
      <c r="N199" s="26"/>
      <c r="O199" s="69" t="s">
        <v>6</v>
      </c>
      <c r="Q199" s="1"/>
      <c r="R199" s="1"/>
      <c r="S199" s="1"/>
      <c r="T199" s="1"/>
      <c r="U199" s="1"/>
      <c r="V199" s="1"/>
      <c r="W199" s="1"/>
      <c r="X199" s="1"/>
      <c r="Y199" s="1"/>
    </row>
    <row r="200" spans="1:25" s="8" customFormat="1" ht="89.25" customHeight="1" hidden="1">
      <c r="A200" s="282" t="s">
        <v>67</v>
      </c>
      <c r="B200" s="282"/>
      <c r="C200" s="282"/>
      <c r="D200" s="282"/>
      <c r="E200" s="19" t="s">
        <v>68</v>
      </c>
      <c r="F200" s="19" t="s">
        <v>69</v>
      </c>
      <c r="G200" s="23"/>
      <c r="H200" s="71">
        <f t="shared" si="2"/>
        <v>0</v>
      </c>
      <c r="I200" s="26"/>
      <c r="J200" s="26"/>
      <c r="K200" s="26"/>
      <c r="L200" s="69"/>
      <c r="M200" s="26"/>
      <c r="N200" s="26"/>
      <c r="O200" s="69" t="s">
        <v>6</v>
      </c>
      <c r="Q200" s="1"/>
      <c r="R200" s="1"/>
      <c r="S200" s="1"/>
      <c r="T200" s="1"/>
      <c r="U200" s="1"/>
      <c r="V200" s="1"/>
      <c r="W200" s="1"/>
      <c r="X200" s="1"/>
      <c r="Y200" s="1"/>
    </row>
    <row r="201" spans="1:25" s="8" customFormat="1" ht="116.25" customHeight="1" hidden="1">
      <c r="A201" s="282" t="s">
        <v>70</v>
      </c>
      <c r="B201" s="282"/>
      <c r="C201" s="282"/>
      <c r="D201" s="282"/>
      <c r="E201" s="19" t="s">
        <v>71</v>
      </c>
      <c r="F201" s="19" t="s">
        <v>72</v>
      </c>
      <c r="G201" s="23"/>
      <c r="H201" s="71">
        <f t="shared" si="2"/>
        <v>0</v>
      </c>
      <c r="I201" s="26"/>
      <c r="J201" s="26"/>
      <c r="K201" s="26"/>
      <c r="L201" s="69"/>
      <c r="M201" s="26"/>
      <c r="N201" s="26"/>
      <c r="O201" s="69" t="s">
        <v>6</v>
      </c>
      <c r="Q201" s="1"/>
      <c r="R201" s="1"/>
      <c r="S201" s="1"/>
      <c r="T201" s="1"/>
      <c r="U201" s="1"/>
      <c r="V201" s="1"/>
      <c r="W201" s="1"/>
      <c r="X201" s="1"/>
      <c r="Y201" s="1"/>
    </row>
    <row r="202" spans="1:25" s="8" customFormat="1" ht="51" customHeight="1" hidden="1">
      <c r="A202" s="282" t="s">
        <v>355</v>
      </c>
      <c r="B202" s="282"/>
      <c r="C202" s="282"/>
      <c r="D202" s="282"/>
      <c r="E202" s="19" t="s">
        <v>356</v>
      </c>
      <c r="F202" s="19" t="s">
        <v>357</v>
      </c>
      <c r="G202" s="23"/>
      <c r="H202" s="71">
        <f t="shared" si="2"/>
        <v>0</v>
      </c>
      <c r="I202" s="26"/>
      <c r="J202" s="26"/>
      <c r="K202" s="26"/>
      <c r="L202" s="22"/>
      <c r="M202" s="26"/>
      <c r="N202" s="26"/>
      <c r="O202" s="22" t="s">
        <v>6</v>
      </c>
      <c r="Q202" s="1"/>
      <c r="R202" s="1"/>
      <c r="S202" s="1"/>
      <c r="T202" s="1"/>
      <c r="U202" s="1"/>
      <c r="V202" s="1"/>
      <c r="W202" s="1"/>
      <c r="X202" s="1"/>
      <c r="Y202" s="1"/>
    </row>
    <row r="203" spans="1:25" s="8" customFormat="1" ht="66" customHeight="1" hidden="1">
      <c r="A203" s="282" t="s">
        <v>73</v>
      </c>
      <c r="B203" s="282"/>
      <c r="C203" s="282"/>
      <c r="D203" s="282"/>
      <c r="E203" s="19" t="s">
        <v>74</v>
      </c>
      <c r="F203" s="19" t="s">
        <v>75</v>
      </c>
      <c r="G203" s="23"/>
      <c r="H203" s="71">
        <f t="shared" si="2"/>
        <v>369254.91</v>
      </c>
      <c r="I203" s="26"/>
      <c r="J203" s="26">
        <f>J204+J205+J206</f>
        <v>369254.91</v>
      </c>
      <c r="K203" s="26"/>
      <c r="L203" s="69"/>
      <c r="M203" s="26"/>
      <c r="N203" s="26"/>
      <c r="O203" s="69" t="s">
        <v>6</v>
      </c>
      <c r="Q203" s="1"/>
      <c r="R203" s="1"/>
      <c r="S203" s="1"/>
      <c r="T203" s="1"/>
      <c r="U203" s="1"/>
      <c r="V203" s="1"/>
      <c r="W203" s="1"/>
      <c r="X203" s="1"/>
      <c r="Y203" s="1"/>
    </row>
    <row r="204" spans="1:25" s="8" customFormat="1" ht="63" customHeight="1" hidden="1">
      <c r="A204" s="282" t="s">
        <v>76</v>
      </c>
      <c r="B204" s="282"/>
      <c r="C204" s="282"/>
      <c r="D204" s="282"/>
      <c r="E204" s="19" t="s">
        <v>77</v>
      </c>
      <c r="F204" s="19" t="s">
        <v>78</v>
      </c>
      <c r="G204" s="23">
        <v>290</v>
      </c>
      <c r="H204" s="71">
        <f t="shared" si="2"/>
        <v>358654.91</v>
      </c>
      <c r="I204" s="26"/>
      <c r="J204" s="26">
        <f>J1608</f>
        <v>358654.91</v>
      </c>
      <c r="K204" s="26"/>
      <c r="L204" s="69"/>
      <c r="M204" s="26"/>
      <c r="N204" s="26"/>
      <c r="O204" s="69" t="s">
        <v>6</v>
      </c>
      <c r="Q204" s="1"/>
      <c r="R204" s="1"/>
      <c r="S204" s="1"/>
      <c r="T204" s="1"/>
      <c r="U204" s="1"/>
      <c r="V204" s="1"/>
      <c r="W204" s="1"/>
      <c r="X204" s="1"/>
      <c r="Y204" s="1"/>
    </row>
    <row r="205" spans="1:25" s="8" customFormat="1" ht="92.25" customHeight="1" hidden="1">
      <c r="A205" s="282" t="s">
        <v>79</v>
      </c>
      <c r="B205" s="282"/>
      <c r="C205" s="282"/>
      <c r="D205" s="282"/>
      <c r="E205" s="19" t="s">
        <v>80</v>
      </c>
      <c r="F205" s="19" t="s">
        <v>81</v>
      </c>
      <c r="G205" s="23">
        <v>290</v>
      </c>
      <c r="H205" s="71">
        <f t="shared" si="2"/>
        <v>0</v>
      </c>
      <c r="I205" s="26"/>
      <c r="J205" s="26"/>
      <c r="K205" s="26"/>
      <c r="L205" s="69"/>
      <c r="M205" s="26"/>
      <c r="N205" s="26"/>
      <c r="O205" s="69" t="s">
        <v>6</v>
      </c>
      <c r="Q205" s="1"/>
      <c r="R205" s="1"/>
      <c r="S205" s="1"/>
      <c r="T205" s="1"/>
      <c r="U205" s="1"/>
      <c r="V205" s="1"/>
      <c r="W205" s="1"/>
      <c r="X205" s="1"/>
      <c r="Y205" s="1"/>
    </row>
    <row r="206" spans="1:25" s="8" customFormat="1" ht="45.75" customHeight="1" hidden="1">
      <c r="A206" s="282" t="s">
        <v>82</v>
      </c>
      <c r="B206" s="282"/>
      <c r="C206" s="282"/>
      <c r="D206" s="282"/>
      <c r="E206" s="19" t="s">
        <v>83</v>
      </c>
      <c r="F206" s="19" t="s">
        <v>84</v>
      </c>
      <c r="G206" s="23">
        <v>290</v>
      </c>
      <c r="H206" s="71">
        <f t="shared" si="2"/>
        <v>10600</v>
      </c>
      <c r="I206" s="26"/>
      <c r="J206" s="26">
        <f>J1616</f>
        <v>10600</v>
      </c>
      <c r="K206" s="26"/>
      <c r="L206" s="69"/>
      <c r="M206" s="26"/>
      <c r="N206" s="26"/>
      <c r="O206" s="69" t="s">
        <v>6</v>
      </c>
      <c r="Q206" s="1"/>
      <c r="R206" s="1"/>
      <c r="S206" s="1"/>
      <c r="T206" s="1"/>
      <c r="U206" s="1"/>
      <c r="V206" s="1"/>
      <c r="W206" s="1"/>
      <c r="X206" s="1"/>
      <c r="Y206" s="1"/>
    </row>
    <row r="207" spans="1:25" s="8" customFormat="1" ht="45.75" customHeight="1" hidden="1">
      <c r="A207" s="282" t="s">
        <v>85</v>
      </c>
      <c r="B207" s="282"/>
      <c r="C207" s="282"/>
      <c r="D207" s="282"/>
      <c r="E207" s="19" t="s">
        <v>86</v>
      </c>
      <c r="F207" s="19" t="s">
        <v>6</v>
      </c>
      <c r="G207" s="23"/>
      <c r="H207" s="71">
        <f t="shared" si="2"/>
        <v>0</v>
      </c>
      <c r="I207" s="26"/>
      <c r="J207" s="26"/>
      <c r="K207" s="26"/>
      <c r="L207" s="69"/>
      <c r="M207" s="26"/>
      <c r="N207" s="26"/>
      <c r="O207" s="69" t="s">
        <v>6</v>
      </c>
      <c r="Q207" s="1"/>
      <c r="R207" s="1"/>
      <c r="S207" s="1"/>
      <c r="T207" s="1"/>
      <c r="U207" s="1"/>
      <c r="V207" s="1"/>
      <c r="W207" s="1"/>
      <c r="X207" s="1"/>
      <c r="Y207" s="1"/>
    </row>
    <row r="208" spans="1:25" s="8" customFormat="1" ht="63.75" customHeight="1" hidden="1">
      <c r="A208" s="282" t="s">
        <v>87</v>
      </c>
      <c r="B208" s="282"/>
      <c r="C208" s="282"/>
      <c r="D208" s="282"/>
      <c r="E208" s="19" t="s">
        <v>88</v>
      </c>
      <c r="F208" s="19" t="s">
        <v>358</v>
      </c>
      <c r="G208" s="23"/>
      <c r="H208" s="71">
        <f t="shared" si="2"/>
        <v>0</v>
      </c>
      <c r="I208" s="26"/>
      <c r="J208" s="26"/>
      <c r="K208" s="26"/>
      <c r="L208" s="69"/>
      <c r="M208" s="26"/>
      <c r="N208" s="26"/>
      <c r="O208" s="69" t="s">
        <v>6</v>
      </c>
      <c r="Q208" s="1"/>
      <c r="R208" s="1"/>
      <c r="S208" s="1"/>
      <c r="T208" s="1"/>
      <c r="U208" s="1"/>
      <c r="V208" s="1"/>
      <c r="W208" s="1"/>
      <c r="X208" s="1"/>
      <c r="Y208" s="1"/>
    </row>
    <row r="209" spans="1:25" s="8" customFormat="1" ht="63.75" customHeight="1" hidden="1">
      <c r="A209" s="286" t="s">
        <v>362</v>
      </c>
      <c r="B209" s="286"/>
      <c r="C209" s="286"/>
      <c r="D209" s="286"/>
      <c r="E209" s="32" t="s">
        <v>363</v>
      </c>
      <c r="F209" s="32" t="s">
        <v>364</v>
      </c>
      <c r="G209" s="126"/>
      <c r="H209" s="71">
        <f t="shared" si="2"/>
        <v>0</v>
      </c>
      <c r="I209" s="127"/>
      <c r="J209" s="127"/>
      <c r="K209" s="127"/>
      <c r="L209" s="21"/>
      <c r="M209" s="127"/>
      <c r="N209" s="127"/>
      <c r="O209" s="22" t="s">
        <v>6</v>
      </c>
      <c r="Q209" s="1"/>
      <c r="R209" s="1"/>
      <c r="S209" s="1"/>
      <c r="T209" s="1"/>
      <c r="U209" s="1"/>
      <c r="V209" s="1"/>
      <c r="W209" s="1"/>
      <c r="X209" s="1"/>
      <c r="Y209" s="1"/>
    </row>
    <row r="210" spans="1:25" s="8" customFormat="1" ht="63.75" customHeight="1" hidden="1">
      <c r="A210" s="286" t="s">
        <v>359</v>
      </c>
      <c r="B210" s="286"/>
      <c r="C210" s="286"/>
      <c r="D210" s="286"/>
      <c r="E210" s="32" t="s">
        <v>360</v>
      </c>
      <c r="F210" s="32" t="s">
        <v>361</v>
      </c>
      <c r="G210" s="126"/>
      <c r="H210" s="71">
        <f t="shared" si="2"/>
        <v>0</v>
      </c>
      <c r="I210" s="127"/>
      <c r="J210" s="127"/>
      <c r="K210" s="127"/>
      <c r="L210" s="21"/>
      <c r="M210" s="127"/>
      <c r="N210" s="127"/>
      <c r="O210" s="22" t="s">
        <v>6</v>
      </c>
      <c r="Q210" s="1"/>
      <c r="R210" s="1"/>
      <c r="S210" s="1"/>
      <c r="T210" s="1"/>
      <c r="U210" s="1"/>
      <c r="V210" s="1"/>
      <c r="W210" s="1"/>
      <c r="X210" s="1"/>
      <c r="Y210" s="1"/>
    </row>
    <row r="211" spans="1:25" s="8" customFormat="1" ht="45.75" customHeight="1" hidden="1">
      <c r="A211" s="282" t="s">
        <v>89</v>
      </c>
      <c r="B211" s="282"/>
      <c r="C211" s="282"/>
      <c r="D211" s="282"/>
      <c r="E211" s="19" t="s">
        <v>90</v>
      </c>
      <c r="F211" s="19" t="s">
        <v>6</v>
      </c>
      <c r="G211" s="23"/>
      <c r="H211" s="71">
        <f t="shared" si="2"/>
        <v>0</v>
      </c>
      <c r="I211" s="26"/>
      <c r="J211" s="26"/>
      <c r="K211" s="26"/>
      <c r="L211" s="69"/>
      <c r="M211" s="26"/>
      <c r="N211" s="26"/>
      <c r="O211" s="69" t="s">
        <v>6</v>
      </c>
      <c r="Q211" s="1"/>
      <c r="R211" s="1"/>
      <c r="S211" s="1"/>
      <c r="T211" s="1"/>
      <c r="U211" s="1"/>
      <c r="V211" s="1"/>
      <c r="W211" s="1"/>
      <c r="X211" s="1"/>
      <c r="Y211" s="1"/>
    </row>
    <row r="212" spans="1:25" s="8" customFormat="1" ht="92.25" customHeight="1" hidden="1">
      <c r="A212" s="282" t="s">
        <v>91</v>
      </c>
      <c r="B212" s="282"/>
      <c r="C212" s="282"/>
      <c r="D212" s="282"/>
      <c r="E212" s="19" t="s">
        <v>92</v>
      </c>
      <c r="F212" s="19" t="s">
        <v>93</v>
      </c>
      <c r="G212" s="23"/>
      <c r="H212" s="71">
        <f t="shared" si="2"/>
        <v>0</v>
      </c>
      <c r="I212" s="26"/>
      <c r="J212" s="26"/>
      <c r="K212" s="26"/>
      <c r="L212" s="69"/>
      <c r="M212" s="26"/>
      <c r="N212" s="26"/>
      <c r="O212" s="69" t="s">
        <v>6</v>
      </c>
      <c r="Q212" s="1"/>
      <c r="R212" s="1"/>
      <c r="S212" s="1"/>
      <c r="T212" s="1"/>
      <c r="U212" s="1"/>
      <c r="V212" s="1"/>
      <c r="W212" s="1"/>
      <c r="X212" s="1"/>
      <c r="Y212" s="1"/>
    </row>
    <row r="213" spans="1:25" s="8" customFormat="1" ht="40.5" customHeight="1" hidden="1">
      <c r="A213" s="282" t="s">
        <v>132</v>
      </c>
      <c r="B213" s="282"/>
      <c r="C213" s="282"/>
      <c r="D213" s="282"/>
      <c r="E213" s="19" t="s">
        <v>94</v>
      </c>
      <c r="F213" s="19" t="s">
        <v>6</v>
      </c>
      <c r="G213" s="23"/>
      <c r="H213" s="71">
        <f t="shared" si="2"/>
        <v>12792173.15098</v>
      </c>
      <c r="I213" s="26">
        <f>I217</f>
        <v>1209270</v>
      </c>
      <c r="J213" s="26">
        <f>J217+J218</f>
        <v>3690483.6909800004</v>
      </c>
      <c r="K213" s="26">
        <f>K217</f>
        <v>6235053.46</v>
      </c>
      <c r="L213" s="69">
        <f>L217</f>
        <v>1117366</v>
      </c>
      <c r="M213" s="26">
        <f>M217</f>
        <v>540000</v>
      </c>
      <c r="N213" s="26"/>
      <c r="O213" s="26"/>
      <c r="Q213" s="1"/>
      <c r="R213" s="1"/>
      <c r="S213" s="1"/>
      <c r="T213" s="1"/>
      <c r="U213" s="1"/>
      <c r="V213" s="1"/>
      <c r="W213" s="1"/>
      <c r="X213" s="1"/>
      <c r="Y213" s="1"/>
    </row>
    <row r="214" spans="1:25" s="8" customFormat="1" ht="66" customHeight="1" hidden="1">
      <c r="A214" s="282" t="s">
        <v>95</v>
      </c>
      <c r="B214" s="282"/>
      <c r="C214" s="282"/>
      <c r="D214" s="282"/>
      <c r="E214" s="19" t="s">
        <v>96</v>
      </c>
      <c r="F214" s="19" t="s">
        <v>97</v>
      </c>
      <c r="G214" s="23"/>
      <c r="H214" s="71">
        <f t="shared" si="2"/>
        <v>0</v>
      </c>
      <c r="I214" s="26"/>
      <c r="J214" s="26"/>
      <c r="K214" s="26"/>
      <c r="L214" s="69"/>
      <c r="M214" s="26"/>
      <c r="N214" s="26"/>
      <c r="O214" s="26"/>
      <c r="Q214" s="1"/>
      <c r="R214" s="1"/>
      <c r="S214" s="1"/>
      <c r="T214" s="1"/>
      <c r="U214" s="1"/>
      <c r="V214" s="1"/>
      <c r="W214" s="1"/>
      <c r="X214" s="1"/>
      <c r="Y214" s="1"/>
    </row>
    <row r="215" spans="1:25" s="8" customFormat="1" ht="62.25" customHeight="1" hidden="1">
      <c r="A215" s="282" t="s">
        <v>98</v>
      </c>
      <c r="B215" s="282"/>
      <c r="C215" s="282"/>
      <c r="D215" s="282"/>
      <c r="E215" s="19" t="s">
        <v>99</v>
      </c>
      <c r="F215" s="19" t="s">
        <v>100</v>
      </c>
      <c r="G215" s="23"/>
      <c r="H215" s="71">
        <f t="shared" si="2"/>
        <v>0</v>
      </c>
      <c r="I215" s="26"/>
      <c r="J215" s="26"/>
      <c r="K215" s="26"/>
      <c r="L215" s="69"/>
      <c r="M215" s="26"/>
      <c r="N215" s="26"/>
      <c r="O215" s="26"/>
      <c r="Q215" s="1"/>
      <c r="R215" s="1"/>
      <c r="S215" s="1"/>
      <c r="T215" s="1"/>
      <c r="U215" s="1"/>
      <c r="V215" s="1"/>
      <c r="W215" s="1"/>
      <c r="X215" s="1"/>
      <c r="Y215" s="1"/>
    </row>
    <row r="216" spans="1:25" s="8" customFormat="1" ht="70.5" customHeight="1" hidden="1">
      <c r="A216" s="282" t="s">
        <v>101</v>
      </c>
      <c r="B216" s="282"/>
      <c r="C216" s="282"/>
      <c r="D216" s="282"/>
      <c r="E216" s="19" t="s">
        <v>102</v>
      </c>
      <c r="F216" s="19" t="s">
        <v>103</v>
      </c>
      <c r="G216" s="23"/>
      <c r="H216" s="71">
        <f t="shared" si="2"/>
        <v>0</v>
      </c>
      <c r="I216" s="26"/>
      <c r="J216" s="26"/>
      <c r="K216" s="26"/>
      <c r="L216" s="69"/>
      <c r="M216" s="26"/>
      <c r="N216" s="33"/>
      <c r="O216" s="33"/>
      <c r="Q216" s="1"/>
      <c r="R216" s="1"/>
      <c r="S216" s="1"/>
      <c r="T216" s="1"/>
      <c r="U216" s="1"/>
      <c r="V216" s="1"/>
      <c r="W216" s="1"/>
      <c r="X216" s="1"/>
      <c r="Y216" s="1"/>
    </row>
    <row r="217" spans="1:25" s="8" customFormat="1" ht="51.75" customHeight="1" hidden="1">
      <c r="A217" s="282" t="s">
        <v>104</v>
      </c>
      <c r="B217" s="282"/>
      <c r="C217" s="282"/>
      <c r="D217" s="282"/>
      <c r="E217" s="19" t="s">
        <v>105</v>
      </c>
      <c r="F217" s="19" t="s">
        <v>106</v>
      </c>
      <c r="G217" s="23"/>
      <c r="H217" s="71">
        <f t="shared" si="2"/>
        <v>10599492.48</v>
      </c>
      <c r="I217" s="26">
        <f>J1483+I1492+J1499+J1515+J1522</f>
        <v>1209270</v>
      </c>
      <c r="J217" s="26">
        <f>K1552+J1579+I1590-J218+J1628+J1635+K1566</f>
        <v>1497803.02</v>
      </c>
      <c r="K217" s="26">
        <f>K1690+H1697+J1704+H1711</f>
        <v>6235053.46</v>
      </c>
      <c r="L217" s="69">
        <f>J1744+H1737+H1729+K1722</f>
        <v>1117366</v>
      </c>
      <c r="M217" s="26">
        <f>I1646+J1653+J1661</f>
        <v>540000</v>
      </c>
      <c r="N217" s="26"/>
      <c r="O217" s="26"/>
      <c r="Q217" s="1"/>
      <c r="R217" s="1"/>
      <c r="S217" s="1"/>
      <c r="T217" s="1"/>
      <c r="U217" s="1"/>
      <c r="V217" s="1"/>
      <c r="W217" s="1"/>
      <c r="X217" s="1"/>
      <c r="Y217" s="1"/>
    </row>
    <row r="218" spans="1:25" s="8" customFormat="1" ht="22.5" customHeight="1" hidden="1">
      <c r="A218" s="284" t="s">
        <v>397</v>
      </c>
      <c r="B218" s="284"/>
      <c r="C218" s="284"/>
      <c r="D218" s="284"/>
      <c r="E218" s="19" t="s">
        <v>398</v>
      </c>
      <c r="F218" s="19" t="s">
        <v>399</v>
      </c>
      <c r="G218" s="23"/>
      <c r="H218" s="71">
        <f t="shared" si="2"/>
        <v>2192680.6709800004</v>
      </c>
      <c r="I218" s="26"/>
      <c r="J218" s="26">
        <f>K1552</f>
        <v>2192680.6709800004</v>
      </c>
      <c r="K218" s="26"/>
      <c r="L218" s="22"/>
      <c r="M218" s="26"/>
      <c r="N218" s="26"/>
      <c r="O218" s="26"/>
      <c r="Q218" s="1"/>
      <c r="R218" s="1"/>
      <c r="S218" s="1"/>
      <c r="T218" s="1"/>
      <c r="U218" s="1"/>
      <c r="V218" s="1"/>
      <c r="W218" s="1"/>
      <c r="X218" s="1"/>
      <c r="Y218" s="1"/>
    </row>
    <row r="219" spans="1:25" s="8" customFormat="1" ht="18.75" hidden="1">
      <c r="A219" s="285"/>
      <c r="B219" s="285"/>
      <c r="C219" s="285"/>
      <c r="D219" s="285"/>
      <c r="E219" s="30"/>
      <c r="F219" s="30"/>
      <c r="G219" s="23"/>
      <c r="H219" s="71">
        <f t="shared" si="2"/>
        <v>0</v>
      </c>
      <c r="I219" s="26"/>
      <c r="J219" s="26"/>
      <c r="K219" s="26"/>
      <c r="L219" s="69"/>
      <c r="M219" s="26"/>
      <c r="N219" s="26"/>
      <c r="O219" s="26"/>
      <c r="Q219" s="1"/>
      <c r="R219" s="1"/>
      <c r="S219" s="1"/>
      <c r="T219" s="1"/>
      <c r="U219" s="1"/>
      <c r="V219" s="1"/>
      <c r="W219" s="1"/>
      <c r="X219" s="1"/>
      <c r="Y219" s="1"/>
    </row>
    <row r="220" spans="1:25" s="8" customFormat="1" ht="67.5" customHeight="1" hidden="1">
      <c r="A220" s="282" t="s">
        <v>107</v>
      </c>
      <c r="B220" s="282"/>
      <c r="C220" s="282"/>
      <c r="D220" s="282"/>
      <c r="E220" s="19" t="s">
        <v>108</v>
      </c>
      <c r="F220" s="19" t="s">
        <v>109</v>
      </c>
      <c r="G220" s="23"/>
      <c r="H220" s="71">
        <f t="shared" si="2"/>
        <v>0</v>
      </c>
      <c r="I220" s="26"/>
      <c r="J220" s="26"/>
      <c r="K220" s="26"/>
      <c r="L220" s="69"/>
      <c r="M220" s="26"/>
      <c r="N220" s="26"/>
      <c r="O220" s="26"/>
      <c r="Q220" s="1"/>
      <c r="R220" s="1"/>
      <c r="S220" s="1"/>
      <c r="T220" s="1"/>
      <c r="U220" s="1"/>
      <c r="V220" s="1"/>
      <c r="W220" s="1"/>
      <c r="X220" s="1"/>
      <c r="Y220" s="1"/>
    </row>
    <row r="221" spans="1:25" s="8" customFormat="1" ht="87.75" customHeight="1" hidden="1">
      <c r="A221" s="282" t="s">
        <v>110</v>
      </c>
      <c r="B221" s="282"/>
      <c r="C221" s="282"/>
      <c r="D221" s="282"/>
      <c r="E221" s="19" t="s">
        <v>111</v>
      </c>
      <c r="F221" s="19" t="s">
        <v>112</v>
      </c>
      <c r="G221" s="23"/>
      <c r="H221" s="71">
        <f t="shared" si="2"/>
        <v>0</v>
      </c>
      <c r="I221" s="26"/>
      <c r="J221" s="26"/>
      <c r="K221" s="26"/>
      <c r="L221" s="69"/>
      <c r="M221" s="26"/>
      <c r="N221" s="26"/>
      <c r="O221" s="26"/>
      <c r="Q221" s="1"/>
      <c r="R221" s="1"/>
      <c r="S221" s="1"/>
      <c r="T221" s="1"/>
      <c r="U221" s="1"/>
      <c r="V221" s="1"/>
      <c r="W221" s="1"/>
      <c r="X221" s="1"/>
      <c r="Y221" s="1"/>
    </row>
    <row r="222" spans="1:25" s="8" customFormat="1" ht="78.75" customHeight="1" hidden="1">
      <c r="A222" s="282" t="s">
        <v>113</v>
      </c>
      <c r="B222" s="282"/>
      <c r="C222" s="282"/>
      <c r="D222" s="282"/>
      <c r="E222" s="19" t="s">
        <v>114</v>
      </c>
      <c r="F222" s="19" t="s">
        <v>115</v>
      </c>
      <c r="G222" s="23"/>
      <c r="H222" s="71">
        <f t="shared" si="2"/>
        <v>0</v>
      </c>
      <c r="I222" s="26"/>
      <c r="J222" s="26"/>
      <c r="K222" s="26"/>
      <c r="L222" s="69"/>
      <c r="M222" s="26"/>
      <c r="N222" s="26"/>
      <c r="O222" s="26"/>
      <c r="Q222" s="1"/>
      <c r="R222" s="1"/>
      <c r="S222" s="1"/>
      <c r="T222" s="1"/>
      <c r="U222" s="1"/>
      <c r="V222" s="1"/>
      <c r="W222" s="1"/>
      <c r="X222" s="1"/>
      <c r="Y222" s="1"/>
    </row>
    <row r="223" spans="1:25" s="8" customFormat="1" ht="24.75" customHeight="1" hidden="1">
      <c r="A223" s="283" t="s">
        <v>133</v>
      </c>
      <c r="B223" s="283"/>
      <c r="C223" s="283"/>
      <c r="D223" s="283"/>
      <c r="E223" s="24" t="s">
        <v>116</v>
      </c>
      <c r="F223" s="24" t="s">
        <v>117</v>
      </c>
      <c r="G223" s="23"/>
      <c r="H223" s="71">
        <f t="shared" si="2"/>
        <v>0</v>
      </c>
      <c r="I223" s="26"/>
      <c r="J223" s="26"/>
      <c r="K223" s="26"/>
      <c r="L223" s="69"/>
      <c r="M223" s="26"/>
      <c r="N223" s="26"/>
      <c r="O223" s="69" t="s">
        <v>6</v>
      </c>
      <c r="Q223" s="1"/>
      <c r="R223" s="1"/>
      <c r="S223" s="1"/>
      <c r="T223" s="1"/>
      <c r="U223" s="1"/>
      <c r="V223" s="1"/>
      <c r="W223" s="1"/>
      <c r="X223" s="1"/>
      <c r="Y223" s="1"/>
    </row>
    <row r="224" spans="1:25" s="8" customFormat="1" ht="48" customHeight="1" hidden="1">
      <c r="A224" s="282" t="s">
        <v>134</v>
      </c>
      <c r="B224" s="282"/>
      <c r="C224" s="282"/>
      <c r="D224" s="282"/>
      <c r="E224" s="19" t="s">
        <v>118</v>
      </c>
      <c r="F224" s="19"/>
      <c r="G224" s="23">
        <v>189</v>
      </c>
      <c r="H224" s="71">
        <f t="shared" si="2"/>
        <v>0</v>
      </c>
      <c r="I224" s="26"/>
      <c r="J224" s="26"/>
      <c r="K224" s="26"/>
      <c r="L224" s="69"/>
      <c r="M224" s="26"/>
      <c r="N224" s="26"/>
      <c r="O224" s="69" t="s">
        <v>6</v>
      </c>
      <c r="Q224" s="1"/>
      <c r="R224" s="1"/>
      <c r="S224" s="1"/>
      <c r="T224" s="1"/>
      <c r="U224" s="1"/>
      <c r="V224" s="1"/>
      <c r="W224" s="1"/>
      <c r="X224" s="1"/>
      <c r="Y224" s="1"/>
    </row>
    <row r="225" spans="1:25" s="8" customFormat="1" ht="27" customHeight="1" hidden="1">
      <c r="A225" s="282" t="s">
        <v>135</v>
      </c>
      <c r="B225" s="282"/>
      <c r="C225" s="282"/>
      <c r="D225" s="282"/>
      <c r="E225" s="19" t="s">
        <v>119</v>
      </c>
      <c r="F225" s="19"/>
      <c r="G225" s="23"/>
      <c r="H225" s="71">
        <f t="shared" si="2"/>
        <v>0</v>
      </c>
      <c r="I225" s="26"/>
      <c r="J225" s="26"/>
      <c r="K225" s="26"/>
      <c r="L225" s="69"/>
      <c r="M225" s="26"/>
      <c r="N225" s="26"/>
      <c r="O225" s="69" t="s">
        <v>6</v>
      </c>
      <c r="Q225" s="1"/>
      <c r="R225" s="1"/>
      <c r="S225" s="1"/>
      <c r="T225" s="1"/>
      <c r="U225" s="1"/>
      <c r="V225" s="1"/>
      <c r="W225" s="1"/>
      <c r="X225" s="1"/>
      <c r="Y225" s="1"/>
    </row>
    <row r="226" spans="1:25" s="8" customFormat="1" ht="27" customHeight="1" hidden="1">
      <c r="A226" s="282" t="s">
        <v>136</v>
      </c>
      <c r="B226" s="282"/>
      <c r="C226" s="282"/>
      <c r="D226" s="282"/>
      <c r="E226" s="19" t="s">
        <v>120</v>
      </c>
      <c r="F226" s="19"/>
      <c r="G226" s="23"/>
      <c r="H226" s="71">
        <f t="shared" si="2"/>
        <v>0</v>
      </c>
      <c r="I226" s="26"/>
      <c r="J226" s="26"/>
      <c r="K226" s="26"/>
      <c r="L226" s="69"/>
      <c r="M226" s="26"/>
      <c r="N226" s="26"/>
      <c r="O226" s="69" t="s">
        <v>6</v>
      </c>
      <c r="Q226" s="1"/>
      <c r="R226" s="1"/>
      <c r="S226" s="1"/>
      <c r="T226" s="1"/>
      <c r="U226" s="1"/>
      <c r="V226" s="1"/>
      <c r="W226" s="1"/>
      <c r="X226" s="1"/>
      <c r="Y226" s="1"/>
    </row>
    <row r="227" spans="1:25" s="8" customFormat="1" ht="27" customHeight="1" hidden="1">
      <c r="A227" s="283" t="s">
        <v>137</v>
      </c>
      <c r="B227" s="283"/>
      <c r="C227" s="283"/>
      <c r="D227" s="283"/>
      <c r="E227" s="24" t="s">
        <v>121</v>
      </c>
      <c r="F227" s="24" t="s">
        <v>6</v>
      </c>
      <c r="G227" s="23"/>
      <c r="H227" s="71">
        <f t="shared" si="2"/>
        <v>0</v>
      </c>
      <c r="I227" s="26"/>
      <c r="J227" s="26"/>
      <c r="K227" s="26"/>
      <c r="L227" s="69"/>
      <c r="M227" s="26"/>
      <c r="N227" s="26"/>
      <c r="O227" s="69" t="s">
        <v>6</v>
      </c>
      <c r="Q227" s="1"/>
      <c r="R227" s="1"/>
      <c r="S227" s="1"/>
      <c r="T227" s="1"/>
      <c r="U227" s="1"/>
      <c r="V227" s="1"/>
      <c r="W227" s="1"/>
      <c r="X227" s="1"/>
      <c r="Y227" s="1"/>
    </row>
    <row r="228" spans="1:25" s="8" customFormat="1" ht="40.5" customHeight="1" hidden="1">
      <c r="A228" s="282" t="s">
        <v>122</v>
      </c>
      <c r="B228" s="282"/>
      <c r="C228" s="282"/>
      <c r="D228" s="282"/>
      <c r="E228" s="19" t="s">
        <v>123</v>
      </c>
      <c r="F228" s="19" t="s">
        <v>124</v>
      </c>
      <c r="G228" s="23"/>
      <c r="H228" s="71">
        <f t="shared" si="2"/>
        <v>0</v>
      </c>
      <c r="I228" s="26"/>
      <c r="J228" s="26"/>
      <c r="K228" s="26"/>
      <c r="L228" s="69"/>
      <c r="M228" s="26"/>
      <c r="N228" s="26"/>
      <c r="O228" s="69" t="s">
        <v>6</v>
      </c>
      <c r="Q228" s="1"/>
      <c r="R228" s="1"/>
      <c r="S228" s="1"/>
      <c r="T228" s="1"/>
      <c r="U228" s="1"/>
      <c r="V228" s="1"/>
      <c r="W228" s="1"/>
      <c r="X228" s="1"/>
      <c r="Y228" s="1"/>
    </row>
    <row r="229" ht="18.75" hidden="1"/>
    <row r="230" ht="18.75" hidden="1"/>
    <row r="231" spans="2:25" s="8" customFormat="1" ht="18.75" hidden="1">
      <c r="B231" s="278" t="s">
        <v>588</v>
      </c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Q231" s="1"/>
      <c r="R231" s="1"/>
      <c r="S231" s="1"/>
      <c r="T231" s="1"/>
      <c r="U231" s="1"/>
      <c r="V231" s="1"/>
      <c r="W231" s="1"/>
      <c r="X231" s="1"/>
      <c r="Y231" s="1"/>
    </row>
    <row r="232" spans="2:25" s="8" customFormat="1" ht="18.75" hidden="1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Q232" s="1"/>
      <c r="R232" s="1"/>
      <c r="S232" s="1"/>
      <c r="T232" s="1"/>
      <c r="U232" s="1"/>
      <c r="V232" s="1"/>
      <c r="W232" s="1"/>
      <c r="X232" s="1"/>
      <c r="Y232" s="1"/>
    </row>
    <row r="233" spans="1:25" s="8" customFormat="1" ht="36" customHeight="1" hidden="1">
      <c r="A233" s="327" t="s">
        <v>589</v>
      </c>
      <c r="B233" s="308" t="s">
        <v>0</v>
      </c>
      <c r="C233" s="309"/>
      <c r="D233" s="309"/>
      <c r="E233" s="309"/>
      <c r="F233" s="309"/>
      <c r="G233" s="310"/>
      <c r="H233" s="295" t="s">
        <v>590</v>
      </c>
      <c r="I233" s="327" t="s">
        <v>591</v>
      </c>
      <c r="J233" s="327" t="s">
        <v>139</v>
      </c>
      <c r="K233" s="345" t="s">
        <v>592</v>
      </c>
      <c r="L233" s="346"/>
      <c r="M233" s="346"/>
      <c r="N233" s="346"/>
      <c r="O233" s="347"/>
      <c r="Q233" s="1"/>
      <c r="R233" s="1"/>
      <c r="S233" s="1"/>
      <c r="T233" s="1"/>
      <c r="U233" s="1"/>
      <c r="V233" s="1"/>
      <c r="W233" s="1"/>
      <c r="X233" s="1"/>
      <c r="Y233" s="1"/>
    </row>
    <row r="234" spans="1:25" s="8" customFormat="1" ht="18.75" hidden="1">
      <c r="A234" s="327"/>
      <c r="B234" s="311"/>
      <c r="C234" s="312"/>
      <c r="D234" s="312"/>
      <c r="E234" s="312"/>
      <c r="F234" s="312"/>
      <c r="G234" s="313"/>
      <c r="H234" s="296"/>
      <c r="I234" s="327"/>
      <c r="J234" s="327"/>
      <c r="K234" s="337" t="s">
        <v>593</v>
      </c>
      <c r="L234" s="339"/>
      <c r="M234" s="348" t="s">
        <v>594</v>
      </c>
      <c r="N234" s="348"/>
      <c r="O234" s="22" t="s">
        <v>595</v>
      </c>
      <c r="Q234" s="1"/>
      <c r="R234" s="1"/>
      <c r="S234" s="1"/>
      <c r="T234" s="1"/>
      <c r="U234" s="1"/>
      <c r="V234" s="1"/>
      <c r="W234" s="1"/>
      <c r="X234" s="1"/>
      <c r="Y234" s="1"/>
    </row>
    <row r="235" spans="1:25" s="8" customFormat="1" ht="56.25" hidden="1">
      <c r="A235" s="327"/>
      <c r="B235" s="349"/>
      <c r="C235" s="350"/>
      <c r="D235" s="350"/>
      <c r="E235" s="350"/>
      <c r="F235" s="350"/>
      <c r="G235" s="351"/>
      <c r="H235" s="297"/>
      <c r="I235" s="327"/>
      <c r="J235" s="327"/>
      <c r="K235" s="352" t="s">
        <v>596</v>
      </c>
      <c r="L235" s="353"/>
      <c r="M235" s="328" t="s">
        <v>597</v>
      </c>
      <c r="N235" s="328"/>
      <c r="O235" s="354" t="s">
        <v>598</v>
      </c>
      <c r="Q235" s="1"/>
      <c r="R235" s="1"/>
      <c r="S235" s="1"/>
      <c r="T235" s="1"/>
      <c r="U235" s="1"/>
      <c r="V235" s="1"/>
      <c r="W235" s="1"/>
      <c r="X235" s="1"/>
      <c r="Y235" s="1"/>
    </row>
    <row r="236" spans="1:25" s="8" customFormat="1" ht="18.75" hidden="1">
      <c r="A236" s="355" t="s">
        <v>599</v>
      </c>
      <c r="B236" s="356" t="s">
        <v>600</v>
      </c>
      <c r="C236" s="357"/>
      <c r="D236" s="357"/>
      <c r="E236" s="357"/>
      <c r="F236" s="357"/>
      <c r="G236" s="358"/>
      <c r="H236" s="355" t="s">
        <v>601</v>
      </c>
      <c r="I236" s="355" t="s">
        <v>602</v>
      </c>
      <c r="J236" s="355" t="s">
        <v>603</v>
      </c>
      <c r="K236" s="355" t="s">
        <v>604</v>
      </c>
      <c r="L236" s="355"/>
      <c r="M236" s="355" t="s">
        <v>605</v>
      </c>
      <c r="N236" s="355"/>
      <c r="O236" s="355" t="s">
        <v>606</v>
      </c>
      <c r="Q236" s="1"/>
      <c r="R236" s="1"/>
      <c r="S236" s="1"/>
      <c r="T236" s="1"/>
      <c r="U236" s="1"/>
      <c r="V236" s="1"/>
      <c r="W236" s="1"/>
      <c r="X236" s="1"/>
      <c r="Y236" s="1"/>
    </row>
    <row r="237" spans="1:25" s="8" customFormat="1" ht="21.75" customHeight="1" hidden="1">
      <c r="A237" s="24">
        <v>1</v>
      </c>
      <c r="B237" s="359" t="s">
        <v>607</v>
      </c>
      <c r="C237" s="360"/>
      <c r="D237" s="360"/>
      <c r="E237" s="360"/>
      <c r="F237" s="360"/>
      <c r="G237" s="361"/>
      <c r="H237" s="24" t="s">
        <v>608</v>
      </c>
      <c r="I237" s="19" t="s">
        <v>6</v>
      </c>
      <c r="J237" s="19" t="s">
        <v>6</v>
      </c>
      <c r="K237" s="333">
        <f>K243+K240</f>
        <v>15591271.95098</v>
      </c>
      <c r="L237" s="331"/>
      <c r="M237" s="26">
        <f>M243</f>
        <v>12209307.15098</v>
      </c>
      <c r="N237" s="331"/>
      <c r="O237" s="333">
        <f>O243</f>
        <v>12792173.15098</v>
      </c>
      <c r="Q237" s="1"/>
      <c r="R237" s="1"/>
      <c r="S237" s="1"/>
      <c r="T237" s="1"/>
      <c r="U237" s="1"/>
      <c r="V237" s="1"/>
      <c r="W237" s="1"/>
      <c r="X237" s="1"/>
      <c r="Y237" s="1"/>
    </row>
    <row r="238" spans="1:25" s="8" customFormat="1" ht="186.75" customHeight="1" hidden="1">
      <c r="A238" s="19" t="s">
        <v>609</v>
      </c>
      <c r="B238" s="301" t="s">
        <v>610</v>
      </c>
      <c r="C238" s="302"/>
      <c r="D238" s="302"/>
      <c r="E238" s="302"/>
      <c r="F238" s="302"/>
      <c r="G238" s="303"/>
      <c r="H238" s="19" t="s">
        <v>611</v>
      </c>
      <c r="I238" s="19" t="s">
        <v>6</v>
      </c>
      <c r="J238" s="19"/>
      <c r="K238" s="69"/>
      <c r="L238" s="69"/>
      <c r="M238" s="69"/>
      <c r="N238" s="69"/>
      <c r="O238" s="69"/>
      <c r="Q238" s="1"/>
      <c r="R238" s="1"/>
      <c r="S238" s="1"/>
      <c r="T238" s="1"/>
      <c r="U238" s="1"/>
      <c r="V238" s="1"/>
      <c r="W238" s="1"/>
      <c r="X238" s="1"/>
      <c r="Y238" s="1"/>
    </row>
    <row r="239" spans="1:25" s="8" customFormat="1" ht="54" customHeight="1" hidden="1">
      <c r="A239" s="19" t="s">
        <v>612</v>
      </c>
      <c r="B239" s="301" t="s">
        <v>613</v>
      </c>
      <c r="C239" s="302"/>
      <c r="D239" s="302"/>
      <c r="E239" s="302"/>
      <c r="F239" s="302"/>
      <c r="G239" s="303"/>
      <c r="H239" s="19" t="s">
        <v>614</v>
      </c>
      <c r="I239" s="19" t="s">
        <v>6</v>
      </c>
      <c r="J239" s="19"/>
      <c r="K239" s="69"/>
      <c r="L239" s="69"/>
      <c r="M239" s="69"/>
      <c r="N239" s="69"/>
      <c r="O239" s="69"/>
      <c r="Q239" s="1"/>
      <c r="R239" s="1"/>
      <c r="S239" s="1"/>
      <c r="T239" s="1"/>
      <c r="U239" s="1"/>
      <c r="V239" s="1"/>
      <c r="W239" s="1"/>
      <c r="X239" s="1"/>
      <c r="Y239" s="1"/>
    </row>
    <row r="240" spans="1:25" s="8" customFormat="1" ht="63.75" customHeight="1" hidden="1">
      <c r="A240" s="19" t="s">
        <v>615</v>
      </c>
      <c r="B240" s="301" t="s">
        <v>616</v>
      </c>
      <c r="C240" s="302"/>
      <c r="D240" s="302"/>
      <c r="E240" s="302"/>
      <c r="F240" s="302"/>
      <c r="G240" s="303"/>
      <c r="H240" s="19" t="s">
        <v>617</v>
      </c>
      <c r="I240" s="19" t="s">
        <v>6</v>
      </c>
      <c r="J240" s="19"/>
      <c r="K240" s="67">
        <v>3697274.75</v>
      </c>
      <c r="L240" s="69"/>
      <c r="M240" s="69"/>
      <c r="N240" s="69"/>
      <c r="O240" s="69"/>
      <c r="Q240" s="1"/>
      <c r="R240" s="1"/>
      <c r="S240" s="1"/>
      <c r="T240" s="1"/>
      <c r="U240" s="1"/>
      <c r="V240" s="1"/>
      <c r="W240" s="1"/>
      <c r="X240" s="1"/>
      <c r="Y240" s="1"/>
    </row>
    <row r="241" spans="1:25" s="8" customFormat="1" ht="63.75" customHeight="1" hidden="1">
      <c r="A241" s="32" t="s">
        <v>618</v>
      </c>
      <c r="B241" s="292" t="s">
        <v>619</v>
      </c>
      <c r="C241" s="293"/>
      <c r="D241" s="293"/>
      <c r="E241" s="293"/>
      <c r="F241" s="293"/>
      <c r="G241" s="294"/>
      <c r="H241" s="32" t="s">
        <v>620</v>
      </c>
      <c r="I241" s="32" t="s">
        <v>6</v>
      </c>
      <c r="J241" s="32"/>
      <c r="K241" s="67">
        <f>K240</f>
        <v>3697274.75</v>
      </c>
      <c r="L241" s="69"/>
      <c r="M241" s="69"/>
      <c r="N241" s="69"/>
      <c r="O241" s="69"/>
      <c r="Q241" s="1"/>
      <c r="R241" s="1"/>
      <c r="S241" s="1"/>
      <c r="T241" s="1"/>
      <c r="U241" s="1"/>
      <c r="V241" s="1"/>
      <c r="W241" s="1"/>
      <c r="X241" s="1"/>
      <c r="Y241" s="1"/>
    </row>
    <row r="242" spans="1:25" s="8" customFormat="1" ht="63.75" customHeight="1" hidden="1">
      <c r="A242" s="32" t="s">
        <v>621</v>
      </c>
      <c r="B242" s="292" t="s">
        <v>622</v>
      </c>
      <c r="C242" s="293"/>
      <c r="D242" s="293"/>
      <c r="E242" s="293"/>
      <c r="F242" s="293"/>
      <c r="G242" s="294"/>
      <c r="H242" s="32" t="s">
        <v>623</v>
      </c>
      <c r="I242" s="32" t="s">
        <v>6</v>
      </c>
      <c r="J242" s="32"/>
      <c r="K242" s="67"/>
      <c r="L242" s="69"/>
      <c r="M242" s="69"/>
      <c r="N242" s="69"/>
      <c r="O242" s="69"/>
      <c r="Q242" s="1"/>
      <c r="R242" s="1"/>
      <c r="S242" s="1"/>
      <c r="T242" s="1"/>
      <c r="U242" s="1"/>
      <c r="V242" s="1"/>
      <c r="W242" s="1"/>
      <c r="X242" s="1"/>
      <c r="Y242" s="1"/>
    </row>
    <row r="243" spans="1:25" s="8" customFormat="1" ht="53.25" customHeight="1" hidden="1">
      <c r="A243" s="19" t="s">
        <v>624</v>
      </c>
      <c r="B243" s="301" t="s">
        <v>625</v>
      </c>
      <c r="C243" s="302"/>
      <c r="D243" s="302"/>
      <c r="E243" s="302"/>
      <c r="F243" s="302"/>
      <c r="G243" s="303"/>
      <c r="H243" s="19" t="s">
        <v>626</v>
      </c>
      <c r="I243" s="19" t="s">
        <v>6</v>
      </c>
      <c r="J243" s="19"/>
      <c r="K243" s="69">
        <f>H76-K240</f>
        <v>11893997.20098</v>
      </c>
      <c r="L243" s="69"/>
      <c r="M243" s="69">
        <f>H145-M240</f>
        <v>12209307.15098</v>
      </c>
      <c r="N243" s="69"/>
      <c r="O243" s="69">
        <f>H213-O240</f>
        <v>12792173.15098</v>
      </c>
      <c r="Q243" s="1"/>
      <c r="R243" s="1"/>
      <c r="S243" s="1"/>
      <c r="T243" s="1"/>
      <c r="U243" s="1"/>
      <c r="V243" s="1"/>
      <c r="W243" s="1"/>
      <c r="X243" s="1"/>
      <c r="Y243" s="1"/>
    </row>
    <row r="244" spans="1:25" s="8" customFormat="1" ht="63" customHeight="1" hidden="1">
      <c r="A244" s="19" t="s">
        <v>627</v>
      </c>
      <c r="B244" s="301" t="s">
        <v>628</v>
      </c>
      <c r="C244" s="302"/>
      <c r="D244" s="302"/>
      <c r="E244" s="302"/>
      <c r="F244" s="302"/>
      <c r="G244" s="303"/>
      <c r="H244" s="19" t="s">
        <v>629</v>
      </c>
      <c r="I244" s="19" t="s">
        <v>6</v>
      </c>
      <c r="J244" s="19"/>
      <c r="K244" s="69">
        <f>K245</f>
        <v>1942323.50098</v>
      </c>
      <c r="L244" s="69"/>
      <c r="M244" s="69">
        <f>M245</f>
        <v>4830053.69098</v>
      </c>
      <c r="N244" s="69"/>
      <c r="O244" s="69">
        <f>O245</f>
        <v>4899753.69098</v>
      </c>
      <c r="Q244" s="1"/>
      <c r="R244" s="1"/>
      <c r="S244" s="1"/>
      <c r="T244" s="1"/>
      <c r="U244" s="1"/>
      <c r="V244" s="1"/>
      <c r="W244" s="1"/>
      <c r="X244" s="1"/>
      <c r="Y244" s="1"/>
    </row>
    <row r="245" spans="1:25" s="8" customFormat="1" ht="36.75" customHeight="1" hidden="1">
      <c r="A245" s="19" t="s">
        <v>630</v>
      </c>
      <c r="B245" s="301" t="s">
        <v>631</v>
      </c>
      <c r="C245" s="302"/>
      <c r="D245" s="302"/>
      <c r="E245" s="302"/>
      <c r="F245" s="302"/>
      <c r="G245" s="303"/>
      <c r="H245" s="19" t="s">
        <v>632</v>
      </c>
      <c r="I245" s="19" t="s">
        <v>6</v>
      </c>
      <c r="J245" s="19"/>
      <c r="K245" s="69">
        <f>I76+J76-K240</f>
        <v>1942323.50098</v>
      </c>
      <c r="L245" s="69"/>
      <c r="M245" s="69">
        <f>I149+J149+J150</f>
        <v>4830053.69098</v>
      </c>
      <c r="N245" s="69"/>
      <c r="O245" s="69">
        <f>I217+J217+J218</f>
        <v>4899753.69098</v>
      </c>
      <c r="Q245" s="1"/>
      <c r="R245" s="1"/>
      <c r="S245" s="1"/>
      <c r="T245" s="1"/>
      <c r="U245" s="1"/>
      <c r="V245" s="1"/>
      <c r="W245" s="1"/>
      <c r="X245" s="1"/>
      <c r="Y245" s="1"/>
    </row>
    <row r="246" spans="1:25" s="8" customFormat="1" ht="24" customHeight="1" hidden="1">
      <c r="A246" s="19" t="s">
        <v>633</v>
      </c>
      <c r="B246" s="301" t="s">
        <v>634</v>
      </c>
      <c r="C246" s="302"/>
      <c r="D246" s="302"/>
      <c r="E246" s="302"/>
      <c r="F246" s="302"/>
      <c r="G246" s="303"/>
      <c r="H246" s="19" t="s">
        <v>635</v>
      </c>
      <c r="I246" s="19" t="s">
        <v>6</v>
      </c>
      <c r="J246" s="19"/>
      <c r="K246" s="69"/>
      <c r="L246" s="69"/>
      <c r="M246" s="69"/>
      <c r="N246" s="69"/>
      <c r="O246" s="69"/>
      <c r="Q246" s="1"/>
      <c r="R246" s="1"/>
      <c r="S246" s="1"/>
      <c r="T246" s="1"/>
      <c r="U246" s="1"/>
      <c r="V246" s="1"/>
      <c r="W246" s="1"/>
      <c r="X246" s="1"/>
      <c r="Y246" s="1"/>
    </row>
    <row r="247" spans="1:25" s="8" customFormat="1" ht="37.5" customHeight="1" hidden="1">
      <c r="A247" s="19" t="s">
        <v>636</v>
      </c>
      <c r="B247" s="301" t="s">
        <v>637</v>
      </c>
      <c r="C247" s="302"/>
      <c r="D247" s="302"/>
      <c r="E247" s="302"/>
      <c r="F247" s="302"/>
      <c r="G247" s="303"/>
      <c r="H247" s="19" t="s">
        <v>638</v>
      </c>
      <c r="I247" s="19" t="s">
        <v>6</v>
      </c>
      <c r="J247" s="19"/>
      <c r="K247" s="69">
        <f>K79+L79+K80+L80-K251</f>
        <v>9055056.030000001</v>
      </c>
      <c r="L247" s="69"/>
      <c r="M247" s="69">
        <f>K149+L149</f>
        <v>6839253.46</v>
      </c>
      <c r="N247" s="69"/>
      <c r="O247" s="69">
        <f>K217+L217</f>
        <v>7352419.46</v>
      </c>
      <c r="Q247" s="1"/>
      <c r="R247" s="1"/>
      <c r="S247" s="1"/>
      <c r="T247" s="1"/>
      <c r="U247" s="1"/>
      <c r="V247" s="1"/>
      <c r="W247" s="1"/>
      <c r="X247" s="1"/>
      <c r="Y247" s="1"/>
    </row>
    <row r="248" spans="1:25" s="8" customFormat="1" ht="41.25" customHeight="1" hidden="1">
      <c r="A248" s="19" t="s">
        <v>639</v>
      </c>
      <c r="B248" s="301" t="s">
        <v>631</v>
      </c>
      <c r="C248" s="302"/>
      <c r="D248" s="302"/>
      <c r="E248" s="302"/>
      <c r="F248" s="302"/>
      <c r="G248" s="303"/>
      <c r="H248" s="19" t="s">
        <v>640</v>
      </c>
      <c r="I248" s="19" t="s">
        <v>6</v>
      </c>
      <c r="J248" s="19"/>
      <c r="K248" s="69">
        <f>K247</f>
        <v>9055056.030000001</v>
      </c>
      <c r="L248" s="69"/>
      <c r="M248" s="69">
        <f>M247</f>
        <v>6839253.46</v>
      </c>
      <c r="N248" s="69"/>
      <c r="O248" s="69">
        <f>O247</f>
        <v>7352419.46</v>
      </c>
      <c r="Q248" s="1"/>
      <c r="R248" s="1"/>
      <c r="S248" s="1"/>
      <c r="T248" s="1"/>
      <c r="U248" s="1"/>
      <c r="V248" s="1"/>
      <c r="W248" s="1"/>
      <c r="X248" s="1"/>
      <c r="Y248" s="1"/>
    </row>
    <row r="249" spans="1:25" s="8" customFormat="1" ht="26.25" customHeight="1" hidden="1">
      <c r="A249" s="19"/>
      <c r="B249" s="301" t="s">
        <v>641</v>
      </c>
      <c r="C249" s="302"/>
      <c r="D249" s="302"/>
      <c r="E249" s="302"/>
      <c r="F249" s="302"/>
      <c r="G249" s="303"/>
      <c r="H249" s="19" t="s">
        <v>642</v>
      </c>
      <c r="I249" s="19" t="s">
        <v>6</v>
      </c>
      <c r="J249" s="19"/>
      <c r="K249" s="69"/>
      <c r="L249" s="69"/>
      <c r="M249" s="69"/>
      <c r="N249" s="69"/>
      <c r="O249" s="69"/>
      <c r="Q249" s="1"/>
      <c r="R249" s="1"/>
      <c r="S249" s="1"/>
      <c r="T249" s="1"/>
      <c r="U249" s="1"/>
      <c r="V249" s="1"/>
      <c r="W249" s="1"/>
      <c r="X249" s="1"/>
      <c r="Y249" s="1"/>
    </row>
    <row r="250" spans="1:25" s="8" customFormat="1" ht="20.25" customHeight="1" hidden="1">
      <c r="A250" s="19" t="s">
        <v>643</v>
      </c>
      <c r="B250" s="301" t="s">
        <v>634</v>
      </c>
      <c r="C250" s="302"/>
      <c r="D250" s="302"/>
      <c r="E250" s="302"/>
      <c r="F250" s="302"/>
      <c r="G250" s="303"/>
      <c r="H250" s="19" t="s">
        <v>642</v>
      </c>
      <c r="I250" s="19" t="s">
        <v>6</v>
      </c>
      <c r="J250" s="19"/>
      <c r="K250" s="69"/>
      <c r="L250" s="69"/>
      <c r="M250" s="69"/>
      <c r="N250" s="69"/>
      <c r="O250" s="69"/>
      <c r="Q250" s="1"/>
      <c r="R250" s="1"/>
      <c r="S250" s="1"/>
      <c r="T250" s="1"/>
      <c r="U250" s="1"/>
      <c r="V250" s="1"/>
      <c r="W250" s="1"/>
      <c r="X250" s="1"/>
      <c r="Y250" s="1"/>
    </row>
    <row r="251" spans="1:25" s="8" customFormat="1" ht="45.75" customHeight="1" hidden="1">
      <c r="A251" s="362" t="s">
        <v>644</v>
      </c>
      <c r="B251" s="301" t="s">
        <v>645</v>
      </c>
      <c r="C251" s="302"/>
      <c r="D251" s="302"/>
      <c r="E251" s="302"/>
      <c r="F251" s="302"/>
      <c r="G251" s="303"/>
      <c r="H251" s="19" t="s">
        <v>646</v>
      </c>
      <c r="I251" s="19" t="s">
        <v>6</v>
      </c>
      <c r="J251" s="19"/>
      <c r="K251" s="69">
        <f>K44+L44</f>
        <v>0</v>
      </c>
      <c r="L251" s="69"/>
      <c r="M251" s="69"/>
      <c r="N251" s="69"/>
      <c r="O251" s="69"/>
      <c r="Q251" s="1"/>
      <c r="R251" s="1"/>
      <c r="S251" s="1"/>
      <c r="T251" s="1"/>
      <c r="U251" s="1"/>
      <c r="V251" s="1"/>
      <c r="W251" s="1"/>
      <c r="X251" s="1"/>
      <c r="Y251" s="1"/>
    </row>
    <row r="252" spans="1:25" s="8" customFormat="1" ht="33" customHeight="1" hidden="1">
      <c r="A252" s="32" t="s">
        <v>647</v>
      </c>
      <c r="B252" s="292" t="s">
        <v>641</v>
      </c>
      <c r="C252" s="293"/>
      <c r="D252" s="293"/>
      <c r="E252" s="293"/>
      <c r="F252" s="293"/>
      <c r="G252" s="294"/>
      <c r="H252" s="32" t="s">
        <v>648</v>
      </c>
      <c r="I252" s="32" t="s">
        <v>6</v>
      </c>
      <c r="J252" s="32"/>
      <c r="K252" s="67"/>
      <c r="L252" s="67"/>
      <c r="M252" s="69"/>
      <c r="N252" s="69"/>
      <c r="O252" s="69"/>
      <c r="Q252" s="80">
        <f>K241+K244+K247+K251+K257-K240</f>
        <v>11893997.200980002</v>
      </c>
      <c r="R252" s="1"/>
      <c r="S252" s="1"/>
      <c r="T252" s="1"/>
      <c r="U252" s="1"/>
      <c r="V252" s="1"/>
      <c r="W252" s="1"/>
      <c r="X252" s="1"/>
      <c r="Y252" s="1"/>
    </row>
    <row r="253" spans="1:25" s="8" customFormat="1" ht="33" customHeight="1" hidden="1">
      <c r="A253" s="32" t="s">
        <v>649</v>
      </c>
      <c r="B253" s="292" t="s">
        <v>641</v>
      </c>
      <c r="C253" s="293"/>
      <c r="D253" s="293"/>
      <c r="E253" s="293"/>
      <c r="F253" s="293"/>
      <c r="G253" s="294"/>
      <c r="H253" s="32" t="s">
        <v>650</v>
      </c>
      <c r="I253" s="32" t="s">
        <v>6</v>
      </c>
      <c r="J253" s="32"/>
      <c r="K253" s="67"/>
      <c r="L253" s="67"/>
      <c r="M253" s="69"/>
      <c r="N253" s="69"/>
      <c r="O253" s="69"/>
      <c r="Q253" s="1"/>
      <c r="R253" s="1"/>
      <c r="S253" s="1"/>
      <c r="T253" s="1"/>
      <c r="U253" s="1"/>
      <c r="V253" s="1"/>
      <c r="W253" s="1"/>
      <c r="X253" s="1"/>
      <c r="Y253" s="1"/>
    </row>
    <row r="254" spans="1:25" s="8" customFormat="1" ht="20.25" customHeight="1" hidden="1">
      <c r="A254" s="19" t="s">
        <v>651</v>
      </c>
      <c r="B254" s="301" t="s">
        <v>652</v>
      </c>
      <c r="C254" s="302"/>
      <c r="D254" s="302"/>
      <c r="E254" s="302"/>
      <c r="F254" s="302"/>
      <c r="G254" s="303"/>
      <c r="H254" s="19" t="s">
        <v>653</v>
      </c>
      <c r="I254" s="19" t="s">
        <v>6</v>
      </c>
      <c r="J254" s="19"/>
      <c r="K254" s="69"/>
      <c r="L254" s="69"/>
      <c r="M254" s="69"/>
      <c r="N254" s="69"/>
      <c r="O254" s="69"/>
      <c r="Q254" s="1"/>
      <c r="R254" s="1"/>
      <c r="S254" s="1"/>
      <c r="T254" s="1"/>
      <c r="U254" s="1"/>
      <c r="V254" s="1"/>
      <c r="W254" s="1"/>
      <c r="X254" s="1"/>
      <c r="Y254" s="1"/>
    </row>
    <row r="255" spans="1:25" s="8" customFormat="1" ht="34.5" customHeight="1" hidden="1">
      <c r="A255" s="19" t="s">
        <v>654</v>
      </c>
      <c r="B255" s="301" t="s">
        <v>631</v>
      </c>
      <c r="C255" s="302"/>
      <c r="D255" s="302"/>
      <c r="E255" s="302"/>
      <c r="F255" s="302"/>
      <c r="G255" s="303"/>
      <c r="H255" s="19" t="s">
        <v>655</v>
      </c>
      <c r="I255" s="19" t="s">
        <v>6</v>
      </c>
      <c r="J255" s="19"/>
      <c r="K255" s="69"/>
      <c r="L255" s="69"/>
      <c r="M255" s="69"/>
      <c r="N255" s="69"/>
      <c r="O255" s="69"/>
      <c r="Q255" s="1"/>
      <c r="R255" s="1"/>
      <c r="S255" s="1"/>
      <c r="T255" s="1"/>
      <c r="U255" s="1"/>
      <c r="V255" s="1"/>
      <c r="W255" s="1"/>
      <c r="X255" s="1"/>
      <c r="Y255" s="1"/>
    </row>
    <row r="256" spans="1:25" s="8" customFormat="1" ht="20.25" customHeight="1" hidden="1">
      <c r="A256" s="19" t="s">
        <v>656</v>
      </c>
      <c r="B256" s="301" t="s">
        <v>657</v>
      </c>
      <c r="C256" s="302"/>
      <c r="D256" s="302"/>
      <c r="E256" s="302"/>
      <c r="F256" s="302"/>
      <c r="G256" s="303"/>
      <c r="H256" s="19" t="s">
        <v>658</v>
      </c>
      <c r="I256" s="19" t="s">
        <v>6</v>
      </c>
      <c r="J256" s="19"/>
      <c r="K256" s="69"/>
      <c r="L256" s="69"/>
      <c r="M256" s="69"/>
      <c r="N256" s="69"/>
      <c r="O256" s="69"/>
      <c r="Q256" s="1"/>
      <c r="R256" s="1"/>
      <c r="S256" s="1"/>
      <c r="T256" s="1"/>
      <c r="U256" s="1"/>
      <c r="V256" s="1"/>
      <c r="W256" s="1"/>
      <c r="X256" s="1"/>
      <c r="Y256" s="1"/>
    </row>
    <row r="257" spans="1:25" s="8" customFormat="1" ht="18.75" customHeight="1" hidden="1">
      <c r="A257" s="32" t="s">
        <v>659</v>
      </c>
      <c r="B257" s="292" t="s">
        <v>660</v>
      </c>
      <c r="C257" s="293"/>
      <c r="D257" s="293"/>
      <c r="E257" s="293"/>
      <c r="F257" s="293"/>
      <c r="G257" s="294"/>
      <c r="H257" s="32" t="s">
        <v>661</v>
      </c>
      <c r="I257" s="32" t="s">
        <v>6</v>
      </c>
      <c r="J257" s="32"/>
      <c r="K257" s="67">
        <f>K258+K259</f>
        <v>896617.6699999999</v>
      </c>
      <c r="L257" s="69"/>
      <c r="M257" s="69">
        <f>M149</f>
        <v>540000</v>
      </c>
      <c r="N257" s="69"/>
      <c r="O257" s="69">
        <f>M217</f>
        <v>540000</v>
      </c>
      <c r="Q257" s="1"/>
      <c r="R257" s="1"/>
      <c r="S257" s="1"/>
      <c r="T257" s="1"/>
      <c r="U257" s="1"/>
      <c r="V257" s="1"/>
      <c r="W257" s="1"/>
      <c r="X257" s="1"/>
      <c r="Y257" s="1"/>
    </row>
    <row r="258" spans="1:25" s="8" customFormat="1" ht="38.25" customHeight="1" hidden="1">
      <c r="A258" s="32" t="s">
        <v>662</v>
      </c>
      <c r="B258" s="292" t="s">
        <v>631</v>
      </c>
      <c r="C258" s="293"/>
      <c r="D258" s="293"/>
      <c r="E258" s="293"/>
      <c r="F258" s="293"/>
      <c r="G258" s="294"/>
      <c r="H258" s="32" t="s">
        <v>663</v>
      </c>
      <c r="I258" s="32" t="s">
        <v>6</v>
      </c>
      <c r="J258" s="32"/>
      <c r="K258" s="67">
        <f>M80+N80-K259</f>
        <v>896617.6699999999</v>
      </c>
      <c r="L258" s="69"/>
      <c r="M258" s="69"/>
      <c r="N258" s="69"/>
      <c r="O258" s="69"/>
      <c r="Q258" s="1"/>
      <c r="R258" s="1"/>
      <c r="S258" s="1"/>
      <c r="T258" s="1"/>
      <c r="U258" s="1"/>
      <c r="V258" s="1"/>
      <c r="W258" s="1"/>
      <c r="X258" s="1"/>
      <c r="Y258" s="1"/>
    </row>
    <row r="259" spans="1:25" s="8" customFormat="1" ht="38.25" customHeight="1" hidden="1">
      <c r="A259" s="32" t="s">
        <v>664</v>
      </c>
      <c r="B259" s="292" t="s">
        <v>641</v>
      </c>
      <c r="C259" s="293"/>
      <c r="D259" s="293"/>
      <c r="E259" s="293"/>
      <c r="F259" s="293"/>
      <c r="G259" s="294"/>
      <c r="H259" s="32" t="s">
        <v>665</v>
      </c>
      <c r="I259" s="32" t="s">
        <v>6</v>
      </c>
      <c r="J259" s="32" t="s">
        <v>666</v>
      </c>
      <c r="K259" s="67">
        <f>J762</f>
        <v>0</v>
      </c>
      <c r="L259" s="69"/>
      <c r="M259" s="69"/>
      <c r="N259" s="69"/>
      <c r="O259" s="69"/>
      <c r="Q259" s="1"/>
      <c r="R259" s="1"/>
      <c r="S259" s="1"/>
      <c r="T259" s="1"/>
      <c r="U259" s="1"/>
      <c r="V259" s="1"/>
      <c r="W259" s="1"/>
      <c r="X259" s="1"/>
      <c r="Y259" s="1"/>
    </row>
    <row r="260" spans="1:25" s="8" customFormat="1" ht="21" customHeight="1" hidden="1">
      <c r="A260" s="19" t="s">
        <v>667</v>
      </c>
      <c r="B260" s="301" t="s">
        <v>668</v>
      </c>
      <c r="C260" s="302"/>
      <c r="D260" s="302"/>
      <c r="E260" s="302"/>
      <c r="F260" s="302"/>
      <c r="G260" s="303"/>
      <c r="H260" s="19" t="s">
        <v>669</v>
      </c>
      <c r="I260" s="19" t="s">
        <v>6</v>
      </c>
      <c r="J260" s="19"/>
      <c r="K260" s="69"/>
      <c r="L260" s="69"/>
      <c r="M260" s="69"/>
      <c r="N260" s="69"/>
      <c r="O260" s="69"/>
      <c r="Q260" s="1"/>
      <c r="R260" s="1"/>
      <c r="S260" s="1"/>
      <c r="T260" s="1"/>
      <c r="U260" s="1"/>
      <c r="V260" s="1"/>
      <c r="W260" s="1"/>
      <c r="X260" s="1"/>
      <c r="Y260" s="1"/>
    </row>
    <row r="261" spans="1:25" s="8" customFormat="1" ht="63.75" customHeight="1" hidden="1">
      <c r="A261" s="19" t="s">
        <v>600</v>
      </c>
      <c r="B261" s="301" t="s">
        <v>670</v>
      </c>
      <c r="C261" s="302"/>
      <c r="D261" s="302"/>
      <c r="E261" s="302"/>
      <c r="F261" s="302"/>
      <c r="G261" s="303"/>
      <c r="H261" s="19" t="s">
        <v>671</v>
      </c>
      <c r="I261" s="19" t="s">
        <v>6</v>
      </c>
      <c r="J261" s="19"/>
      <c r="K261" s="69">
        <f>K243</f>
        <v>11893997.20098</v>
      </c>
      <c r="L261" s="69"/>
      <c r="M261" s="69">
        <f>M243</f>
        <v>12209307.15098</v>
      </c>
      <c r="N261" s="69"/>
      <c r="O261" s="69">
        <f>O243</f>
        <v>12792173.15098</v>
      </c>
      <c r="Q261" s="1"/>
      <c r="R261" s="1"/>
      <c r="S261" s="1"/>
      <c r="T261" s="1"/>
      <c r="U261" s="1"/>
      <c r="V261" s="1"/>
      <c r="W261" s="1"/>
      <c r="X261" s="1"/>
      <c r="Y261" s="1"/>
    </row>
    <row r="262" spans="1:25" s="8" customFormat="1" ht="15.75" customHeight="1" hidden="1">
      <c r="A262" s="19"/>
      <c r="B262" s="301" t="s">
        <v>672</v>
      </c>
      <c r="C262" s="302"/>
      <c r="D262" s="302"/>
      <c r="E262" s="302"/>
      <c r="F262" s="302"/>
      <c r="G262" s="303"/>
      <c r="H262" s="19" t="s">
        <v>673</v>
      </c>
      <c r="I262" s="19"/>
      <c r="J262" s="19"/>
      <c r="K262" s="69"/>
      <c r="L262" s="69"/>
      <c r="M262" s="69"/>
      <c r="N262" s="69"/>
      <c r="O262" s="69"/>
      <c r="Q262" s="1"/>
      <c r="R262" s="1"/>
      <c r="S262" s="1"/>
      <c r="T262" s="1"/>
      <c r="U262" s="1"/>
      <c r="V262" s="1"/>
      <c r="W262" s="1"/>
      <c r="X262" s="1"/>
      <c r="Y262" s="1"/>
    </row>
    <row r="263" spans="1:25" s="8" customFormat="1" ht="12.75" customHeight="1" hidden="1">
      <c r="A263" s="19"/>
      <c r="B263" s="363"/>
      <c r="C263" s="364"/>
      <c r="D263" s="364"/>
      <c r="E263" s="364"/>
      <c r="F263" s="364"/>
      <c r="G263" s="365"/>
      <c r="H263" s="331"/>
      <c r="I263" s="26"/>
      <c r="J263" s="26"/>
      <c r="K263" s="69"/>
      <c r="L263" s="69"/>
      <c r="M263" s="69"/>
      <c r="N263" s="69"/>
      <c r="O263" s="69"/>
      <c r="Q263" s="1"/>
      <c r="R263" s="1"/>
      <c r="S263" s="1"/>
      <c r="T263" s="1"/>
      <c r="U263" s="1"/>
      <c r="V263" s="1"/>
      <c r="W263" s="1"/>
      <c r="X263" s="1"/>
      <c r="Y263" s="1"/>
    </row>
    <row r="264" spans="1:25" s="8" customFormat="1" ht="80.25" customHeight="1" hidden="1">
      <c r="A264" s="19" t="s">
        <v>601</v>
      </c>
      <c r="B264" s="301" t="s">
        <v>674</v>
      </c>
      <c r="C264" s="302"/>
      <c r="D264" s="302"/>
      <c r="E264" s="302"/>
      <c r="F264" s="302"/>
      <c r="G264" s="303"/>
      <c r="H264" s="19" t="s">
        <v>675</v>
      </c>
      <c r="I264" s="19" t="s">
        <v>6</v>
      </c>
      <c r="J264" s="19"/>
      <c r="K264" s="69"/>
      <c r="L264" s="69"/>
      <c r="M264" s="69"/>
      <c r="N264" s="69"/>
      <c r="O264" s="69"/>
      <c r="Q264" s="1"/>
      <c r="R264" s="1"/>
      <c r="S264" s="1"/>
      <c r="T264" s="1"/>
      <c r="U264" s="1"/>
      <c r="V264" s="1"/>
      <c r="W264" s="1"/>
      <c r="X264" s="1"/>
      <c r="Y264" s="1"/>
    </row>
    <row r="265" spans="1:25" s="8" customFormat="1" ht="15.75" customHeight="1" hidden="1">
      <c r="A265" s="19"/>
      <c r="B265" s="301" t="s">
        <v>672</v>
      </c>
      <c r="C265" s="302"/>
      <c r="D265" s="302"/>
      <c r="E265" s="302"/>
      <c r="F265" s="302"/>
      <c r="G265" s="303"/>
      <c r="H265" s="19" t="s">
        <v>676</v>
      </c>
      <c r="I265" s="19"/>
      <c r="J265" s="19"/>
      <c r="K265" s="69"/>
      <c r="L265" s="69"/>
      <c r="M265" s="69"/>
      <c r="N265" s="69"/>
      <c r="O265" s="69"/>
      <c r="Q265" s="1"/>
      <c r="R265" s="1"/>
      <c r="S265" s="1"/>
      <c r="T265" s="1"/>
      <c r="U265" s="1"/>
      <c r="V265" s="1"/>
      <c r="W265" s="1"/>
      <c r="X265" s="1"/>
      <c r="Y265" s="1"/>
    </row>
    <row r="266" spans="1:25" s="8" customFormat="1" ht="19.5" hidden="1">
      <c r="A266" s="19"/>
      <c r="B266" s="301"/>
      <c r="C266" s="302"/>
      <c r="D266" s="302"/>
      <c r="E266" s="302"/>
      <c r="F266" s="302"/>
      <c r="G266" s="303"/>
      <c r="H266" s="331"/>
      <c r="I266" s="331"/>
      <c r="J266" s="331"/>
      <c r="K266" s="69"/>
      <c r="L266" s="69"/>
      <c r="M266" s="69"/>
      <c r="N266" s="69"/>
      <c r="O266" s="69"/>
      <c r="Q266" s="1"/>
      <c r="R266" s="1"/>
      <c r="S266" s="1"/>
      <c r="T266" s="1"/>
      <c r="U266" s="1"/>
      <c r="V266" s="1"/>
      <c r="W266" s="1"/>
      <c r="X266" s="1"/>
      <c r="Y266" s="1"/>
    </row>
    <row r="267" ht="18.75" hidden="1"/>
    <row r="268" spans="2:25" s="8" customFormat="1" ht="18.75" hidden="1">
      <c r="B268" s="8" t="s">
        <v>677</v>
      </c>
      <c r="Q268" s="1"/>
      <c r="R268" s="1"/>
      <c r="S268" s="1"/>
      <c r="T268" s="1"/>
      <c r="U268" s="1"/>
      <c r="V268" s="1"/>
      <c r="W268" s="1"/>
      <c r="X268" s="1"/>
      <c r="Y268" s="1"/>
    </row>
    <row r="269" spans="2:25" s="8" customFormat="1" ht="19.5" customHeight="1" hidden="1">
      <c r="B269" s="8" t="s">
        <v>678</v>
      </c>
      <c r="F269" s="325" t="s">
        <v>679</v>
      </c>
      <c r="G269" s="325"/>
      <c r="H269" s="325"/>
      <c r="J269" s="40"/>
      <c r="K269" s="40"/>
      <c r="M269" s="325" t="s">
        <v>280</v>
      </c>
      <c r="N269" s="325"/>
      <c r="O269" s="325"/>
      <c r="Q269" s="1"/>
      <c r="R269" s="1"/>
      <c r="S269" s="1"/>
      <c r="T269" s="1"/>
      <c r="U269" s="1"/>
      <c r="V269" s="1"/>
      <c r="W269" s="1"/>
      <c r="X269" s="1"/>
      <c r="Y269" s="1"/>
    </row>
    <row r="270" spans="6:25" s="8" customFormat="1" ht="18.75" hidden="1">
      <c r="F270" s="366" t="s">
        <v>680</v>
      </c>
      <c r="G270" s="366"/>
      <c r="H270" s="366"/>
      <c r="J270" s="367" t="s">
        <v>3</v>
      </c>
      <c r="K270" s="367"/>
      <c r="M270" s="367" t="s">
        <v>144</v>
      </c>
      <c r="N270" s="367"/>
      <c r="O270" s="367"/>
      <c r="Q270" s="1"/>
      <c r="R270" s="1"/>
      <c r="S270" s="1"/>
      <c r="T270" s="1"/>
      <c r="U270" s="1"/>
      <c r="V270" s="1"/>
      <c r="W270" s="1"/>
      <c r="X270" s="1"/>
      <c r="Y270" s="1"/>
    </row>
    <row r="271" spans="14:25" s="8" customFormat="1" ht="18.75" hidden="1">
      <c r="N271" s="25"/>
      <c r="Q271" s="1"/>
      <c r="R271" s="1"/>
      <c r="S271" s="1"/>
      <c r="T271" s="1"/>
      <c r="U271" s="1"/>
      <c r="V271" s="1"/>
      <c r="W271" s="1"/>
      <c r="X271" s="1"/>
      <c r="Y271" s="1"/>
    </row>
    <row r="272" spans="2:25" s="8" customFormat="1" ht="18.75" hidden="1">
      <c r="B272" s="8" t="s">
        <v>681</v>
      </c>
      <c r="D272" s="325" t="s">
        <v>682</v>
      </c>
      <c r="E272" s="325"/>
      <c r="F272" s="325"/>
      <c r="G272" s="325"/>
      <c r="I272" s="325" t="s">
        <v>683</v>
      </c>
      <c r="J272" s="325"/>
      <c r="K272" s="325"/>
      <c r="L272" s="325"/>
      <c r="N272" s="368" t="s">
        <v>684</v>
      </c>
      <c r="O272" s="368"/>
      <c r="Q272" s="1"/>
      <c r="R272" s="1"/>
      <c r="S272" s="1"/>
      <c r="T272" s="1"/>
      <c r="U272" s="1"/>
      <c r="V272" s="1"/>
      <c r="W272" s="1"/>
      <c r="X272" s="1"/>
      <c r="Y272" s="1"/>
    </row>
    <row r="273" spans="5:25" s="8" customFormat="1" ht="18.75" hidden="1">
      <c r="E273" s="369" t="s">
        <v>680</v>
      </c>
      <c r="F273" s="369"/>
      <c r="G273" s="369"/>
      <c r="I273" s="367" t="s">
        <v>685</v>
      </c>
      <c r="J273" s="367"/>
      <c r="K273" s="367"/>
      <c r="L273" s="367"/>
      <c r="N273" s="370" t="s">
        <v>686</v>
      </c>
      <c r="O273" s="370"/>
      <c r="Q273" s="1"/>
      <c r="R273" s="1"/>
      <c r="S273" s="1"/>
      <c r="T273" s="1"/>
      <c r="U273" s="1"/>
      <c r="V273" s="1"/>
      <c r="W273" s="1"/>
      <c r="X273" s="1"/>
      <c r="Y273" s="1"/>
    </row>
    <row r="274" spans="14:25" s="8" customFormat="1" ht="18.75" hidden="1">
      <c r="N274" s="25"/>
      <c r="Q274" s="1"/>
      <c r="R274" s="1"/>
      <c r="S274" s="1"/>
      <c r="T274" s="1"/>
      <c r="U274" s="1"/>
      <c r="V274" s="1"/>
      <c r="W274" s="1"/>
      <c r="X274" s="1"/>
      <c r="Y274" s="1"/>
    </row>
    <row r="275" spans="2:25" s="8" customFormat="1" ht="18.75" hidden="1">
      <c r="B275" s="1"/>
      <c r="C275" s="371" t="str">
        <f>L14</f>
        <v>"01" ноября  2021 года</v>
      </c>
      <c r="D275" s="371"/>
      <c r="E275" s="371"/>
      <c r="F275" s="371"/>
      <c r="G275" s="371"/>
      <c r="H275" s="371"/>
      <c r="I275" s="371"/>
      <c r="N275" s="25"/>
      <c r="Q275" s="1"/>
      <c r="R275" s="1"/>
      <c r="S275" s="1"/>
      <c r="T275" s="1"/>
      <c r="U275" s="1"/>
      <c r="V275" s="1"/>
      <c r="W275" s="1"/>
      <c r="X275" s="1"/>
      <c r="Y275" s="1"/>
    </row>
    <row r="276" spans="1:25" s="8" customFormat="1" ht="19.5" hidden="1" thickBot="1">
      <c r="A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s="8" customFormat="1" ht="18.75" hidden="1">
      <c r="A277" s="372"/>
      <c r="B277" s="373"/>
      <c r="C277" s="373"/>
      <c r="D277" s="373"/>
      <c r="E277" s="373"/>
      <c r="F277" s="373"/>
      <c r="G277" s="373"/>
      <c r="H277" s="373"/>
      <c r="I277" s="373"/>
      <c r="J277" s="373"/>
      <c r="K277" s="373"/>
      <c r="L277" s="373"/>
      <c r="M277" s="374"/>
      <c r="Q277" s="1"/>
      <c r="R277" s="1"/>
      <c r="S277" s="1"/>
      <c r="T277" s="1"/>
      <c r="U277" s="1"/>
      <c r="V277" s="1"/>
      <c r="W277" s="1"/>
      <c r="X277" s="1"/>
      <c r="Y277" s="1"/>
    </row>
    <row r="278" spans="1:25" s="8" customFormat="1" ht="18.75" hidden="1">
      <c r="A278" s="375"/>
      <c r="B278" s="8" t="s">
        <v>687</v>
      </c>
      <c r="M278" s="372"/>
      <c r="Q278" s="1"/>
      <c r="R278" s="1"/>
      <c r="S278" s="1"/>
      <c r="T278" s="1"/>
      <c r="U278" s="1"/>
      <c r="V278" s="1"/>
      <c r="W278" s="1"/>
      <c r="X278" s="1"/>
      <c r="Y278" s="1"/>
    </row>
    <row r="279" spans="1:25" s="8" customFormat="1" ht="19.5" customHeight="1" hidden="1">
      <c r="A279" s="376"/>
      <c r="B279" s="377" t="s">
        <v>688</v>
      </c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  <c r="M279" s="378"/>
      <c r="Q279" s="1"/>
      <c r="R279" s="1"/>
      <c r="S279" s="1"/>
      <c r="T279" s="1"/>
      <c r="U279" s="1"/>
      <c r="V279" s="1"/>
      <c r="W279" s="1"/>
      <c r="X279" s="1"/>
      <c r="Y279" s="1"/>
    </row>
    <row r="280" spans="1:25" s="8" customFormat="1" ht="18.75" hidden="1">
      <c r="A280" s="375"/>
      <c r="B280" s="370" t="s">
        <v>689</v>
      </c>
      <c r="C280" s="370"/>
      <c r="D280" s="370"/>
      <c r="E280" s="370"/>
      <c r="F280" s="370"/>
      <c r="G280" s="370"/>
      <c r="H280" s="370"/>
      <c r="I280" s="370"/>
      <c r="J280" s="370"/>
      <c r="K280" s="370"/>
      <c r="L280" s="370"/>
      <c r="M280" s="379"/>
      <c r="Q280" s="1"/>
      <c r="R280" s="1"/>
      <c r="S280" s="1"/>
      <c r="T280" s="1"/>
      <c r="U280" s="1"/>
      <c r="V280" s="1"/>
      <c r="W280" s="1"/>
      <c r="X280" s="1"/>
      <c r="Y280" s="1"/>
    </row>
    <row r="281" spans="1:25" s="8" customFormat="1" ht="18.75" hidden="1">
      <c r="A281" s="380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380"/>
      <c r="Q281" s="1"/>
      <c r="R281" s="1"/>
      <c r="S281" s="1"/>
      <c r="T281" s="1"/>
      <c r="U281" s="1"/>
      <c r="V281" s="1"/>
      <c r="W281" s="1"/>
      <c r="X281" s="1"/>
      <c r="Y281" s="1"/>
    </row>
    <row r="282" spans="1:25" s="8" customFormat="1" ht="19.5" hidden="1">
      <c r="A282" s="376"/>
      <c r="B282" s="381"/>
      <c r="C282" s="381"/>
      <c r="D282" s="381"/>
      <c r="E282" s="382"/>
      <c r="F282" s="382"/>
      <c r="G282" s="325" t="s">
        <v>690</v>
      </c>
      <c r="H282" s="325"/>
      <c r="I282" s="325"/>
      <c r="J282" s="325"/>
      <c r="K282" s="325"/>
      <c r="L282" s="325"/>
      <c r="M282" s="378"/>
      <c r="Q282" s="1"/>
      <c r="R282" s="1"/>
      <c r="S282" s="1"/>
      <c r="T282" s="1"/>
      <c r="U282" s="1"/>
      <c r="V282" s="1"/>
      <c r="W282" s="1"/>
      <c r="X282" s="1"/>
      <c r="Y282" s="1"/>
    </row>
    <row r="283" spans="1:25" s="8" customFormat="1" ht="18.75" hidden="1">
      <c r="A283" s="375"/>
      <c r="B283" s="370" t="s">
        <v>3</v>
      </c>
      <c r="C283" s="370"/>
      <c r="D283" s="370"/>
      <c r="E283" s="25"/>
      <c r="F283" s="25"/>
      <c r="G283" s="370" t="s">
        <v>144</v>
      </c>
      <c r="H283" s="370"/>
      <c r="I283" s="370"/>
      <c r="J283" s="370"/>
      <c r="K283" s="370"/>
      <c r="L283" s="370"/>
      <c r="M283" s="379"/>
      <c r="Q283" s="1"/>
      <c r="R283" s="1"/>
      <c r="S283" s="1"/>
      <c r="T283" s="1"/>
      <c r="U283" s="1"/>
      <c r="V283" s="1"/>
      <c r="W283" s="1"/>
      <c r="X283" s="1"/>
      <c r="Y283" s="1"/>
    </row>
    <row r="284" spans="1:25" s="8" customFormat="1" ht="18.75" hidden="1">
      <c r="A284" s="372"/>
      <c r="M284" s="372"/>
      <c r="Q284" s="1"/>
      <c r="R284" s="1"/>
      <c r="S284" s="1"/>
      <c r="T284" s="1"/>
      <c r="U284" s="1"/>
      <c r="V284" s="1"/>
      <c r="W284" s="1"/>
      <c r="X284" s="1"/>
      <c r="Y284" s="1"/>
    </row>
    <row r="285" spans="1:25" s="8" customFormat="1" ht="19.5" hidden="1">
      <c r="A285" s="375"/>
      <c r="B285" s="8" t="s">
        <v>691</v>
      </c>
      <c r="C285" s="383"/>
      <c r="D285" s="384"/>
      <c r="E285" s="384"/>
      <c r="F285" s="384"/>
      <c r="G285" s="384"/>
      <c r="H285" s="384"/>
      <c r="I285" s="384"/>
      <c r="J285" s="384"/>
      <c r="K285" s="384"/>
      <c r="L285" s="384"/>
      <c r="M285" s="385"/>
      <c r="Q285" s="1"/>
      <c r="R285" s="1"/>
      <c r="S285" s="1"/>
      <c r="T285" s="1"/>
      <c r="U285" s="1"/>
      <c r="V285" s="1"/>
      <c r="W285" s="1"/>
      <c r="X285" s="1"/>
      <c r="Y285" s="1"/>
    </row>
    <row r="286" spans="1:25" s="8" customFormat="1" ht="19.5" hidden="1" thickBot="1">
      <c r="A286" s="372"/>
      <c r="B286" s="386"/>
      <c r="C286" s="386"/>
      <c r="D286" s="386"/>
      <c r="E286" s="386"/>
      <c r="F286" s="386"/>
      <c r="G286" s="386"/>
      <c r="H286" s="386"/>
      <c r="I286" s="386"/>
      <c r="J286" s="386"/>
      <c r="K286" s="386"/>
      <c r="L286" s="386"/>
      <c r="M286" s="387"/>
      <c r="Q286" s="1"/>
      <c r="R286" s="1"/>
      <c r="S286" s="1"/>
      <c r="T286" s="1"/>
      <c r="U286" s="1"/>
      <c r="V286" s="1"/>
      <c r="W286" s="1"/>
      <c r="X286" s="1"/>
      <c r="Y286" s="1"/>
    </row>
    <row r="287" ht="18.75" hidden="1"/>
    <row r="288" ht="18.75" hidden="1"/>
    <row r="289" ht="18.75" hidden="1"/>
    <row r="290" spans="2:14" ht="18.75" hidden="1">
      <c r="B290" s="278" t="s">
        <v>692</v>
      </c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</row>
    <row r="291" spans="2:14" ht="18.75" hidden="1">
      <c r="B291" s="278" t="s">
        <v>693</v>
      </c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</row>
    <row r="292" spans="2:14" ht="13.5" customHeight="1" hidden="1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2:14" ht="18.75" hidden="1">
      <c r="B293" s="9" t="s">
        <v>694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2:14" ht="12.75" customHeight="1" hidden="1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2:15" ht="18.75" hidden="1">
      <c r="B295" s="317" t="s">
        <v>0</v>
      </c>
      <c r="C295" s="318"/>
      <c r="D295" s="318"/>
      <c r="E295" s="318"/>
      <c r="F295" s="318"/>
      <c r="G295" s="318"/>
      <c r="H295" s="319"/>
      <c r="I295" s="388" t="s">
        <v>1</v>
      </c>
      <c r="J295" s="337" t="s">
        <v>695</v>
      </c>
      <c r="K295" s="338"/>
      <c r="L295" s="338"/>
      <c r="M295" s="338"/>
      <c r="N295" s="338"/>
      <c r="O295" s="339"/>
    </row>
    <row r="296" spans="2:15" ht="18.75" hidden="1">
      <c r="B296" s="389"/>
      <c r="C296" s="325"/>
      <c r="D296" s="325"/>
      <c r="E296" s="325"/>
      <c r="F296" s="325"/>
      <c r="G296" s="325"/>
      <c r="H296" s="390"/>
      <c r="I296" s="391"/>
      <c r="J296" s="337" t="s">
        <v>696</v>
      </c>
      <c r="K296" s="339"/>
      <c r="L296" s="337" t="s">
        <v>697</v>
      </c>
      <c r="M296" s="339"/>
      <c r="N296" s="337" t="s">
        <v>698</v>
      </c>
      <c r="O296" s="339"/>
    </row>
    <row r="297" spans="1:16" s="392" customFormat="1" ht="18.75" hidden="1">
      <c r="A297" s="18"/>
      <c r="B297" s="337">
        <v>1</v>
      </c>
      <c r="C297" s="338"/>
      <c r="D297" s="338"/>
      <c r="E297" s="338"/>
      <c r="F297" s="338"/>
      <c r="G297" s="338"/>
      <c r="H297" s="339"/>
      <c r="I297" s="22">
        <v>2</v>
      </c>
      <c r="J297" s="337">
        <v>3</v>
      </c>
      <c r="K297" s="339"/>
      <c r="L297" s="337">
        <v>4</v>
      </c>
      <c r="M297" s="339"/>
      <c r="N297" s="337">
        <v>5</v>
      </c>
      <c r="O297" s="339"/>
      <c r="P297" s="18"/>
    </row>
    <row r="298" spans="2:15" ht="35.25" customHeight="1" hidden="1">
      <c r="B298" s="301" t="s">
        <v>699</v>
      </c>
      <c r="C298" s="302"/>
      <c r="D298" s="302"/>
      <c r="E298" s="302"/>
      <c r="F298" s="302"/>
      <c r="G298" s="302"/>
      <c r="H298" s="303"/>
      <c r="I298" s="19" t="s">
        <v>700</v>
      </c>
      <c r="J298" s="337"/>
      <c r="K298" s="339"/>
      <c r="L298" s="337"/>
      <c r="M298" s="339"/>
      <c r="N298" s="337"/>
      <c r="O298" s="339"/>
    </row>
    <row r="299" spans="2:15" ht="39.75" customHeight="1" hidden="1">
      <c r="B299" s="301" t="s">
        <v>701</v>
      </c>
      <c r="C299" s="302"/>
      <c r="D299" s="302"/>
      <c r="E299" s="302"/>
      <c r="F299" s="302"/>
      <c r="G299" s="302"/>
      <c r="H299" s="303"/>
      <c r="I299" s="19" t="s">
        <v>702</v>
      </c>
      <c r="J299" s="337"/>
      <c r="K299" s="339"/>
      <c r="L299" s="337"/>
      <c r="M299" s="339"/>
      <c r="N299" s="337"/>
      <c r="O299" s="339"/>
    </row>
    <row r="300" spans="2:15" ht="18.75" hidden="1">
      <c r="B300" s="393" t="s">
        <v>703</v>
      </c>
      <c r="C300" s="394"/>
      <c r="D300" s="394"/>
      <c r="E300" s="394"/>
      <c r="F300" s="394"/>
      <c r="G300" s="394"/>
      <c r="H300" s="395"/>
      <c r="I300" s="19" t="s">
        <v>704</v>
      </c>
      <c r="J300" s="396">
        <f>J301</f>
        <v>338101.81</v>
      </c>
      <c r="K300" s="339"/>
      <c r="L300" s="396">
        <f>L301</f>
        <v>0</v>
      </c>
      <c r="M300" s="397"/>
      <c r="N300" s="396">
        <f>N301</f>
        <v>0</v>
      </c>
      <c r="O300" s="397"/>
    </row>
    <row r="301" spans="2:15" ht="18.75" hidden="1">
      <c r="B301" s="393" t="s">
        <v>7</v>
      </c>
      <c r="C301" s="394"/>
      <c r="D301" s="394"/>
      <c r="E301" s="394"/>
      <c r="F301" s="394"/>
      <c r="G301" s="394"/>
      <c r="H301" s="395"/>
      <c r="I301" s="398" t="s">
        <v>705</v>
      </c>
      <c r="J301" s="399">
        <f>M28</f>
        <v>338101.81</v>
      </c>
      <c r="K301" s="319"/>
      <c r="L301" s="399">
        <v>0</v>
      </c>
      <c r="M301" s="400"/>
      <c r="N301" s="399">
        <v>0</v>
      </c>
      <c r="O301" s="400"/>
    </row>
    <row r="302" spans="2:15" ht="37.5" customHeight="1" hidden="1">
      <c r="B302" s="401" t="s">
        <v>706</v>
      </c>
      <c r="C302" s="402"/>
      <c r="D302" s="402"/>
      <c r="E302" s="402"/>
      <c r="F302" s="402"/>
      <c r="G302" s="402"/>
      <c r="H302" s="403"/>
      <c r="I302" s="404"/>
      <c r="J302" s="389"/>
      <c r="K302" s="390"/>
      <c r="L302" s="405"/>
      <c r="M302" s="406"/>
      <c r="N302" s="405"/>
      <c r="O302" s="406"/>
    </row>
    <row r="303" spans="2:15" ht="35.25" customHeight="1" hidden="1">
      <c r="B303" s="401" t="s">
        <v>707</v>
      </c>
      <c r="C303" s="402"/>
      <c r="D303" s="402"/>
      <c r="E303" s="402"/>
      <c r="F303" s="402"/>
      <c r="G303" s="402"/>
      <c r="H303" s="403"/>
      <c r="I303" s="19" t="s">
        <v>708</v>
      </c>
      <c r="J303" s="337"/>
      <c r="K303" s="339"/>
      <c r="L303" s="337"/>
      <c r="M303" s="339"/>
      <c r="N303" s="337"/>
      <c r="O303" s="339"/>
    </row>
    <row r="304" spans="2:25" s="8" customFormat="1" ht="34.5" customHeight="1" hidden="1">
      <c r="B304" s="301" t="s">
        <v>709</v>
      </c>
      <c r="C304" s="302"/>
      <c r="D304" s="302"/>
      <c r="E304" s="302"/>
      <c r="F304" s="302"/>
      <c r="G304" s="302"/>
      <c r="H304" s="303"/>
      <c r="I304" s="19" t="s">
        <v>710</v>
      </c>
      <c r="J304" s="337"/>
      <c r="K304" s="339"/>
      <c r="L304" s="337"/>
      <c r="M304" s="339"/>
      <c r="N304" s="337"/>
      <c r="O304" s="339"/>
      <c r="Q304" s="1"/>
      <c r="R304" s="1"/>
      <c r="S304" s="1"/>
      <c r="T304" s="1"/>
      <c r="U304" s="1"/>
      <c r="V304" s="1"/>
      <c r="W304" s="1"/>
      <c r="X304" s="1"/>
      <c r="Y304" s="1"/>
    </row>
    <row r="305" spans="2:25" s="8" customFormat="1" ht="39" customHeight="1" hidden="1">
      <c r="B305" s="301" t="s">
        <v>711</v>
      </c>
      <c r="C305" s="302"/>
      <c r="D305" s="302"/>
      <c r="E305" s="302"/>
      <c r="F305" s="302"/>
      <c r="G305" s="302"/>
      <c r="H305" s="303"/>
      <c r="I305" s="19" t="s">
        <v>712</v>
      </c>
      <c r="J305" s="337"/>
      <c r="K305" s="339"/>
      <c r="L305" s="337"/>
      <c r="M305" s="339"/>
      <c r="N305" s="337"/>
      <c r="O305" s="339"/>
      <c r="Q305" s="1"/>
      <c r="R305" s="1"/>
      <c r="S305" s="1"/>
      <c r="T305" s="1"/>
      <c r="U305" s="1"/>
      <c r="V305" s="1"/>
      <c r="W305" s="1"/>
      <c r="X305" s="1"/>
      <c r="Y305" s="1"/>
    </row>
    <row r="306" spans="2:25" s="8" customFormat="1" ht="43.5" customHeight="1" hidden="1">
      <c r="B306" s="301" t="s">
        <v>713</v>
      </c>
      <c r="C306" s="302"/>
      <c r="D306" s="302"/>
      <c r="E306" s="302"/>
      <c r="F306" s="302"/>
      <c r="G306" s="302"/>
      <c r="H306" s="303"/>
      <c r="I306" s="19" t="s">
        <v>714</v>
      </c>
      <c r="J306" s="337"/>
      <c r="K306" s="339"/>
      <c r="L306" s="337"/>
      <c r="M306" s="339"/>
      <c r="N306" s="337"/>
      <c r="O306" s="339"/>
      <c r="Q306" s="1"/>
      <c r="R306" s="1"/>
      <c r="S306" s="1"/>
      <c r="T306" s="1"/>
      <c r="U306" s="1"/>
      <c r="V306" s="1"/>
      <c r="W306" s="1"/>
      <c r="X306" s="1"/>
      <c r="Y306" s="1"/>
    </row>
    <row r="307" ht="18.75" hidden="1"/>
    <row r="308" spans="2:25" s="8" customFormat="1" ht="18.75" hidden="1">
      <c r="B308" s="34" t="s">
        <v>715</v>
      </c>
      <c r="Q308" s="1"/>
      <c r="R308" s="1"/>
      <c r="S308" s="1"/>
      <c r="T308" s="1"/>
      <c r="U308" s="1"/>
      <c r="V308" s="1"/>
      <c r="W308" s="1"/>
      <c r="X308" s="1"/>
      <c r="Y308" s="1"/>
    </row>
    <row r="309" ht="18.75" hidden="1"/>
    <row r="310" spans="2:25" s="8" customFormat="1" ht="24.75" customHeight="1" hidden="1">
      <c r="B310" s="407" t="s">
        <v>716</v>
      </c>
      <c r="C310" s="408"/>
      <c r="D310" s="409"/>
      <c r="E310" s="295" t="s">
        <v>1</v>
      </c>
      <c r="F310" s="407" t="s">
        <v>717</v>
      </c>
      <c r="G310" s="408"/>
      <c r="H310" s="408"/>
      <c r="I310" s="409"/>
      <c r="J310" s="407" t="s">
        <v>718</v>
      </c>
      <c r="K310" s="408"/>
      <c r="L310" s="409"/>
      <c r="M310" s="407" t="s">
        <v>719</v>
      </c>
      <c r="N310" s="408"/>
      <c r="O310" s="409"/>
      <c r="Q310" s="1"/>
      <c r="R310" s="1"/>
      <c r="S310" s="1"/>
      <c r="T310" s="1"/>
      <c r="U310" s="1"/>
      <c r="V310" s="1"/>
      <c r="W310" s="1"/>
      <c r="X310" s="1"/>
      <c r="Y310" s="1"/>
    </row>
    <row r="311" spans="2:25" s="8" customFormat="1" ht="42.75" customHeight="1" hidden="1">
      <c r="B311" s="410"/>
      <c r="C311" s="411"/>
      <c r="D311" s="412"/>
      <c r="E311" s="296"/>
      <c r="F311" s="413"/>
      <c r="G311" s="414"/>
      <c r="H311" s="414"/>
      <c r="I311" s="415"/>
      <c r="J311" s="413"/>
      <c r="K311" s="414"/>
      <c r="L311" s="415"/>
      <c r="M311" s="413"/>
      <c r="N311" s="414"/>
      <c r="O311" s="415"/>
      <c r="Q311" s="1"/>
      <c r="R311" s="1"/>
      <c r="S311" s="1"/>
      <c r="T311" s="1"/>
      <c r="U311" s="1"/>
      <c r="V311" s="1"/>
      <c r="W311" s="1"/>
      <c r="X311" s="1"/>
      <c r="Y311" s="1"/>
    </row>
    <row r="312" spans="2:25" s="8" customFormat="1" ht="24.75" customHeight="1" hidden="1">
      <c r="B312" s="413"/>
      <c r="C312" s="414"/>
      <c r="D312" s="415"/>
      <c r="E312" s="297"/>
      <c r="F312" s="337" t="s">
        <v>696</v>
      </c>
      <c r="G312" s="339"/>
      <c r="H312" s="416" t="s">
        <v>697</v>
      </c>
      <c r="I312" s="416" t="s">
        <v>698</v>
      </c>
      <c r="J312" s="416" t="s">
        <v>696</v>
      </c>
      <c r="K312" s="416" t="s">
        <v>697</v>
      </c>
      <c r="L312" s="416" t="s">
        <v>698</v>
      </c>
      <c r="M312" s="416" t="s">
        <v>696</v>
      </c>
      <c r="N312" s="416" t="s">
        <v>697</v>
      </c>
      <c r="O312" s="416" t="s">
        <v>698</v>
      </c>
      <c r="Q312" s="1"/>
      <c r="R312" s="1"/>
      <c r="S312" s="1"/>
      <c r="T312" s="1"/>
      <c r="U312" s="1"/>
      <c r="V312" s="1"/>
      <c r="W312" s="1"/>
      <c r="X312" s="1"/>
      <c r="Y312" s="1"/>
    </row>
    <row r="313" spans="2:25" s="8" customFormat="1" ht="18.75" hidden="1">
      <c r="B313" s="337">
        <v>1</v>
      </c>
      <c r="C313" s="338"/>
      <c r="D313" s="339"/>
      <c r="E313" s="22">
        <v>2</v>
      </c>
      <c r="F313" s="337">
        <v>3</v>
      </c>
      <c r="G313" s="339"/>
      <c r="H313" s="22">
        <v>4</v>
      </c>
      <c r="I313" s="22">
        <v>5</v>
      </c>
      <c r="J313" s="22">
        <v>6</v>
      </c>
      <c r="K313" s="22">
        <v>7</v>
      </c>
      <c r="L313" s="22">
        <v>8</v>
      </c>
      <c r="M313" s="22">
        <v>9</v>
      </c>
      <c r="N313" s="22">
        <v>10</v>
      </c>
      <c r="O313" s="22">
        <v>11</v>
      </c>
      <c r="Q313" s="1"/>
      <c r="R313" s="1"/>
      <c r="S313" s="1"/>
      <c r="T313" s="1"/>
      <c r="U313" s="1"/>
      <c r="V313" s="1"/>
      <c r="W313" s="1"/>
      <c r="X313" s="1"/>
      <c r="Y313" s="1"/>
    </row>
    <row r="314" spans="2:25" s="8" customFormat="1" ht="18.75" hidden="1">
      <c r="B314" s="341" t="s">
        <v>720</v>
      </c>
      <c r="C314" s="342"/>
      <c r="D314" s="343"/>
      <c r="E314" s="19" t="s">
        <v>700</v>
      </c>
      <c r="F314" s="334">
        <f>F315+F316+F317+F318</f>
        <v>890.8599999999999</v>
      </c>
      <c r="G314" s="336"/>
      <c r="H314" s="69">
        <f>H315+H316+H317+H318</f>
        <v>0</v>
      </c>
      <c r="I314" s="69">
        <f>I315+I316+I317+I318</f>
        <v>0</v>
      </c>
      <c r="J314" s="69" t="e">
        <f>J315+J316+J317+J318</f>
        <v>#DIV/0!</v>
      </c>
      <c r="K314" s="69">
        <f>K315+K316+K317+K318</f>
        <v>0</v>
      </c>
      <c r="L314" s="69">
        <f>L315+L316+L317+L318</f>
        <v>0</v>
      </c>
      <c r="M314" s="69">
        <f>M316+M317+M318</f>
        <v>338670.82</v>
      </c>
      <c r="N314" s="417">
        <f>N316+N317</f>
        <v>0</v>
      </c>
      <c r="O314" s="417">
        <f>O316+O317</f>
        <v>0</v>
      </c>
      <c r="Q314" s="1"/>
      <c r="R314" s="1"/>
      <c r="S314" s="1"/>
      <c r="T314" s="1"/>
      <c r="U314" s="1"/>
      <c r="V314" s="1"/>
      <c r="W314" s="1"/>
      <c r="X314" s="1"/>
      <c r="Y314" s="1"/>
    </row>
    <row r="315" spans="2:25" s="8" customFormat="1" ht="18.75" hidden="1">
      <c r="B315" s="341" t="s">
        <v>7</v>
      </c>
      <c r="C315" s="342"/>
      <c r="D315" s="343"/>
      <c r="E315" s="19" t="s">
        <v>721</v>
      </c>
      <c r="F315" s="337"/>
      <c r="G315" s="339"/>
      <c r="H315" s="21"/>
      <c r="I315" s="21"/>
      <c r="J315" s="21"/>
      <c r="K315" s="21"/>
      <c r="L315" s="21"/>
      <c r="M315" s="21"/>
      <c r="N315" s="417"/>
      <c r="O315" s="417"/>
      <c r="Q315" s="1"/>
      <c r="R315" s="1"/>
      <c r="S315" s="1"/>
      <c r="T315" s="1"/>
      <c r="U315" s="1"/>
      <c r="V315" s="1"/>
      <c r="W315" s="1"/>
      <c r="X315" s="1"/>
      <c r="Y315" s="1"/>
    </row>
    <row r="316" spans="2:25" s="8" customFormat="1" ht="18.75" hidden="1">
      <c r="B316" s="341" t="s">
        <v>722</v>
      </c>
      <c r="C316" s="342"/>
      <c r="D316" s="343"/>
      <c r="E316" s="19" t="s">
        <v>723</v>
      </c>
      <c r="F316" s="337">
        <v>578.43</v>
      </c>
      <c r="G316" s="339"/>
      <c r="H316" s="69">
        <v>0</v>
      </c>
      <c r="I316" s="69">
        <v>0</v>
      </c>
      <c r="J316" s="67">
        <f>M316/F316</f>
        <v>249.3992358625936</v>
      </c>
      <c r="K316" s="69">
        <v>0</v>
      </c>
      <c r="L316" s="69">
        <v>0</v>
      </c>
      <c r="M316" s="69">
        <v>144260</v>
      </c>
      <c r="N316" s="417">
        <v>0</v>
      </c>
      <c r="O316" s="417">
        <v>0</v>
      </c>
      <c r="Q316" s="1"/>
      <c r="R316" s="1"/>
      <c r="S316" s="1"/>
      <c r="T316" s="1"/>
      <c r="U316" s="1"/>
      <c r="V316" s="1"/>
      <c r="W316" s="1"/>
      <c r="X316" s="1"/>
      <c r="Y316" s="1"/>
    </row>
    <row r="317" spans="2:25" s="8" customFormat="1" ht="18.75" hidden="1">
      <c r="B317" s="341" t="s">
        <v>724</v>
      </c>
      <c r="C317" s="342"/>
      <c r="D317" s="343"/>
      <c r="E317" s="19" t="s">
        <v>725</v>
      </c>
      <c r="F317" s="337">
        <v>312.43</v>
      </c>
      <c r="G317" s="339"/>
      <c r="H317" s="69">
        <v>0</v>
      </c>
      <c r="I317" s="69">
        <v>0</v>
      </c>
      <c r="J317" s="67">
        <f>M317/F317</f>
        <v>499.31184585347114</v>
      </c>
      <c r="K317" s="69">
        <v>0</v>
      </c>
      <c r="L317" s="69">
        <v>0</v>
      </c>
      <c r="M317" s="69">
        <v>156000</v>
      </c>
      <c r="N317" s="417">
        <v>0</v>
      </c>
      <c r="O317" s="417">
        <v>0</v>
      </c>
      <c r="Q317" s="1"/>
      <c r="R317" s="1"/>
      <c r="S317" s="1"/>
      <c r="T317" s="1"/>
      <c r="U317" s="1"/>
      <c r="V317" s="1"/>
      <c r="W317" s="1"/>
      <c r="X317" s="1"/>
      <c r="Y317" s="1"/>
    </row>
    <row r="318" spans="2:25" s="8" customFormat="1" ht="39" customHeight="1" hidden="1">
      <c r="B318" s="301" t="s">
        <v>726</v>
      </c>
      <c r="C318" s="302"/>
      <c r="D318" s="303"/>
      <c r="E318" s="19" t="s">
        <v>725</v>
      </c>
      <c r="F318" s="337"/>
      <c r="G318" s="339"/>
      <c r="H318" s="69">
        <v>0</v>
      </c>
      <c r="I318" s="69">
        <v>0</v>
      </c>
      <c r="J318" s="67" t="e">
        <f>M318/F318</f>
        <v>#DIV/0!</v>
      </c>
      <c r="K318" s="69">
        <v>0</v>
      </c>
      <c r="L318" s="69">
        <v>0</v>
      </c>
      <c r="M318" s="69">
        <v>38410.82</v>
      </c>
      <c r="N318" s="417">
        <v>0</v>
      </c>
      <c r="O318" s="417">
        <v>0</v>
      </c>
      <c r="Q318" s="1"/>
      <c r="R318" s="1"/>
      <c r="S318" s="1"/>
      <c r="T318" s="1"/>
      <c r="U318" s="1"/>
      <c r="V318" s="1"/>
      <c r="W318" s="1"/>
      <c r="X318" s="1"/>
      <c r="Y318" s="1"/>
    </row>
    <row r="319" spans="2:25" s="8" customFormat="1" ht="18.75" hidden="1">
      <c r="B319" s="341" t="s">
        <v>727</v>
      </c>
      <c r="C319" s="342"/>
      <c r="D319" s="343"/>
      <c r="E319" s="19" t="s">
        <v>702</v>
      </c>
      <c r="F319" s="337"/>
      <c r="G319" s="339"/>
      <c r="H319" s="21"/>
      <c r="I319" s="21"/>
      <c r="J319" s="21"/>
      <c r="K319" s="21"/>
      <c r="L319" s="21"/>
      <c r="M319" s="21"/>
      <c r="N319" s="21"/>
      <c r="O319" s="2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s="8" customFormat="1" ht="18.75" hidden="1">
      <c r="B320" s="341" t="s">
        <v>7</v>
      </c>
      <c r="C320" s="342"/>
      <c r="D320" s="343"/>
      <c r="E320" s="19" t="s">
        <v>728</v>
      </c>
      <c r="F320" s="337"/>
      <c r="G320" s="339"/>
      <c r="H320" s="21"/>
      <c r="I320" s="21"/>
      <c r="J320" s="21"/>
      <c r="K320" s="21"/>
      <c r="L320" s="21"/>
      <c r="M320" s="21"/>
      <c r="N320" s="21"/>
      <c r="O320" s="2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s="8" customFormat="1" ht="18.75" hidden="1">
      <c r="B321" s="341" t="s">
        <v>130</v>
      </c>
      <c r="C321" s="342"/>
      <c r="D321" s="343"/>
      <c r="E321" s="19" t="s">
        <v>729</v>
      </c>
      <c r="F321" s="337">
        <f>F319+F314</f>
        <v>890.8599999999999</v>
      </c>
      <c r="G321" s="339"/>
      <c r="H321" s="69">
        <f aca="true" t="shared" si="4" ref="H321:O321">H319+H314</f>
        <v>0</v>
      </c>
      <c r="I321" s="69">
        <f t="shared" si="4"/>
        <v>0</v>
      </c>
      <c r="J321" s="69" t="e">
        <f t="shared" si="4"/>
        <v>#DIV/0!</v>
      </c>
      <c r="K321" s="69">
        <f t="shared" si="4"/>
        <v>0</v>
      </c>
      <c r="L321" s="69">
        <f t="shared" si="4"/>
        <v>0</v>
      </c>
      <c r="M321" s="69">
        <f t="shared" si="4"/>
        <v>338670.82</v>
      </c>
      <c r="N321" s="69">
        <f t="shared" si="4"/>
        <v>0</v>
      </c>
      <c r="O321" s="69">
        <f t="shared" si="4"/>
        <v>0</v>
      </c>
      <c r="Q321" s="1"/>
      <c r="R321" s="1"/>
      <c r="S321" s="1"/>
      <c r="T321" s="1"/>
      <c r="U321" s="1"/>
      <c r="V321" s="1"/>
      <c r="W321" s="1"/>
      <c r="X321" s="1"/>
      <c r="Y321" s="1"/>
    </row>
    <row r="322" spans="5:25" s="8" customFormat="1" ht="13.5" customHeight="1" hidden="1">
      <c r="E322" s="196"/>
      <c r="F322" s="18"/>
      <c r="G322" s="18"/>
      <c r="Q322" s="1"/>
      <c r="R322" s="1"/>
      <c r="S322" s="1"/>
      <c r="T322" s="1"/>
      <c r="U322" s="1"/>
      <c r="V322" s="1"/>
      <c r="W322" s="1"/>
      <c r="X322" s="1"/>
      <c r="Y322" s="1"/>
    </row>
    <row r="323" spans="2:25" s="8" customFormat="1" ht="18.75" hidden="1">
      <c r="B323" s="418" t="s">
        <v>730</v>
      </c>
      <c r="C323" s="418"/>
      <c r="D323" s="418"/>
      <c r="E323" s="418"/>
      <c r="F323" s="418"/>
      <c r="G323" s="418"/>
      <c r="H323" s="418"/>
      <c r="I323" s="418"/>
      <c r="J323" s="418"/>
      <c r="K323" s="418"/>
      <c r="L323" s="418"/>
      <c r="M323" s="418"/>
      <c r="N323" s="418"/>
      <c r="O323" s="418"/>
      <c r="Q323" s="1"/>
      <c r="R323" s="1"/>
      <c r="S323" s="1"/>
      <c r="T323" s="1"/>
      <c r="U323" s="1"/>
      <c r="V323" s="1"/>
      <c r="W323" s="1"/>
      <c r="X323" s="1"/>
      <c r="Y323" s="1"/>
    </row>
    <row r="324" spans="2:25" s="8" customFormat="1" ht="18.75" hidden="1">
      <c r="B324" s="8" t="s">
        <v>731</v>
      </c>
      <c r="Q324" s="1"/>
      <c r="R324" s="1"/>
      <c r="S324" s="1"/>
      <c r="T324" s="1"/>
      <c r="U324" s="1"/>
      <c r="V324" s="1"/>
      <c r="W324" s="1"/>
      <c r="X324" s="1"/>
      <c r="Y324" s="1"/>
    </row>
    <row r="325" ht="18.75" hidden="1"/>
    <row r="326" spans="2:25" s="8" customFormat="1" ht="18.75" hidden="1">
      <c r="B326" s="317" t="s">
        <v>0</v>
      </c>
      <c r="C326" s="318"/>
      <c r="D326" s="318"/>
      <c r="E326" s="318"/>
      <c r="F326" s="318"/>
      <c r="G326" s="318"/>
      <c r="H326" s="319"/>
      <c r="I326" s="388" t="s">
        <v>1</v>
      </c>
      <c r="J326" s="337" t="s">
        <v>695</v>
      </c>
      <c r="K326" s="338"/>
      <c r="L326" s="338"/>
      <c r="M326" s="338"/>
      <c r="N326" s="338"/>
      <c r="O326" s="339"/>
      <c r="Q326" s="1"/>
      <c r="R326" s="1"/>
      <c r="S326" s="1"/>
      <c r="T326" s="1"/>
      <c r="U326" s="1"/>
      <c r="V326" s="1"/>
      <c r="W326" s="1"/>
      <c r="X326" s="1"/>
      <c r="Y326" s="1"/>
    </row>
    <row r="327" spans="2:25" s="8" customFormat="1" ht="18.75" hidden="1">
      <c r="B327" s="389"/>
      <c r="C327" s="325"/>
      <c r="D327" s="325"/>
      <c r="E327" s="325"/>
      <c r="F327" s="325"/>
      <c r="G327" s="325"/>
      <c r="H327" s="390"/>
      <c r="I327" s="391"/>
      <c r="J327" s="337" t="s">
        <v>696</v>
      </c>
      <c r="K327" s="339"/>
      <c r="L327" s="337" t="s">
        <v>697</v>
      </c>
      <c r="M327" s="339"/>
      <c r="N327" s="337" t="s">
        <v>698</v>
      </c>
      <c r="O327" s="339"/>
      <c r="Q327" s="1"/>
      <c r="R327" s="1"/>
      <c r="S327" s="1"/>
      <c r="T327" s="1"/>
      <c r="U327" s="1"/>
      <c r="V327" s="1"/>
      <c r="W327" s="1"/>
      <c r="X327" s="1"/>
      <c r="Y327" s="1"/>
    </row>
    <row r="328" spans="2:25" s="8" customFormat="1" ht="18.75" hidden="1">
      <c r="B328" s="337">
        <v>1</v>
      </c>
      <c r="C328" s="338"/>
      <c r="D328" s="338"/>
      <c r="E328" s="338"/>
      <c r="F328" s="338"/>
      <c r="G328" s="338"/>
      <c r="H328" s="339"/>
      <c r="I328" s="21">
        <v>2</v>
      </c>
      <c r="J328" s="337">
        <v>3</v>
      </c>
      <c r="K328" s="339"/>
      <c r="L328" s="337">
        <v>4</v>
      </c>
      <c r="M328" s="339"/>
      <c r="N328" s="337">
        <v>5</v>
      </c>
      <c r="O328" s="339"/>
      <c r="Q328" s="1"/>
      <c r="R328" s="1"/>
      <c r="S328" s="1"/>
      <c r="T328" s="1"/>
      <c r="U328" s="1"/>
      <c r="V328" s="1"/>
      <c r="W328" s="1"/>
      <c r="X328" s="1"/>
      <c r="Y328" s="1"/>
    </row>
    <row r="329" spans="2:25" s="8" customFormat="1" ht="36" customHeight="1" hidden="1">
      <c r="B329" s="301" t="s">
        <v>699</v>
      </c>
      <c r="C329" s="302"/>
      <c r="D329" s="302"/>
      <c r="E329" s="302"/>
      <c r="F329" s="302"/>
      <c r="G329" s="302"/>
      <c r="H329" s="303"/>
      <c r="I329" s="19" t="s">
        <v>700</v>
      </c>
      <c r="J329" s="69">
        <f>'[1]18.05.'!$J$472</f>
        <v>41896.92</v>
      </c>
      <c r="K329" s="69"/>
      <c r="L329" s="69">
        <f>H97</f>
        <v>0.0009800009429454803</v>
      </c>
      <c r="M329" s="69"/>
      <c r="N329" s="69">
        <f>H166</f>
        <v>0.0009800009429454803</v>
      </c>
      <c r="O329" s="69"/>
      <c r="Q329" s="1"/>
      <c r="R329" s="1"/>
      <c r="S329" s="1"/>
      <c r="T329" s="1"/>
      <c r="U329" s="1"/>
      <c r="V329" s="1"/>
      <c r="W329" s="1"/>
      <c r="X329" s="1"/>
      <c r="Y329" s="1"/>
    </row>
    <row r="330" spans="2:25" s="8" customFormat="1" ht="41.25" customHeight="1" hidden="1">
      <c r="B330" s="301" t="s">
        <v>701</v>
      </c>
      <c r="C330" s="302"/>
      <c r="D330" s="302"/>
      <c r="E330" s="302"/>
      <c r="F330" s="302"/>
      <c r="G330" s="302"/>
      <c r="H330" s="303"/>
      <c r="I330" s="19" t="s">
        <v>702</v>
      </c>
      <c r="J330" s="69"/>
      <c r="K330" s="69"/>
      <c r="L330" s="69"/>
      <c r="M330" s="69"/>
      <c r="N330" s="69"/>
      <c r="O330" s="69"/>
      <c r="Q330" s="1"/>
      <c r="R330" s="1"/>
      <c r="S330" s="1"/>
      <c r="T330" s="1"/>
      <c r="U330" s="1"/>
      <c r="V330" s="1"/>
      <c r="W330" s="1"/>
      <c r="X330" s="1"/>
      <c r="Y330" s="1"/>
    </row>
    <row r="331" spans="2:25" s="8" customFormat="1" ht="18.75" hidden="1">
      <c r="B331" s="393" t="s">
        <v>732</v>
      </c>
      <c r="C331" s="394"/>
      <c r="D331" s="394"/>
      <c r="E331" s="394"/>
      <c r="F331" s="394"/>
      <c r="G331" s="394"/>
      <c r="H331" s="395"/>
      <c r="I331" s="19" t="s">
        <v>704</v>
      </c>
      <c r="J331" s="69">
        <f>H30</f>
        <v>43097757</v>
      </c>
      <c r="K331" s="69"/>
      <c r="L331" s="69">
        <f>H100</f>
        <v>42886292</v>
      </c>
      <c r="M331" s="69"/>
      <c r="N331" s="69">
        <f>H169</f>
        <v>42955992</v>
      </c>
      <c r="O331" s="69"/>
      <c r="Q331" s="1"/>
      <c r="R331" s="1"/>
      <c r="S331" s="1"/>
      <c r="T331" s="1"/>
      <c r="U331" s="1"/>
      <c r="V331" s="1"/>
      <c r="W331" s="1"/>
      <c r="X331" s="1"/>
      <c r="Y331" s="1"/>
    </row>
    <row r="332" spans="2:25" s="8" customFormat="1" ht="16.5" customHeight="1" hidden="1">
      <c r="B332" s="393" t="s">
        <v>7</v>
      </c>
      <c r="C332" s="394"/>
      <c r="D332" s="394"/>
      <c r="E332" s="394"/>
      <c r="F332" s="394"/>
      <c r="G332" s="394"/>
      <c r="H332" s="395"/>
      <c r="I332" s="398" t="s">
        <v>705</v>
      </c>
      <c r="J332" s="419">
        <f>H31</f>
        <v>43097757</v>
      </c>
      <c r="K332" s="419"/>
      <c r="L332" s="419">
        <f>H101</f>
        <v>42346292</v>
      </c>
      <c r="M332" s="419"/>
      <c r="N332" s="419">
        <f>H170</f>
        <v>42415992</v>
      </c>
      <c r="O332" s="419"/>
      <c r="Q332" s="1"/>
      <c r="R332" s="1"/>
      <c r="S332" s="1"/>
      <c r="T332" s="1"/>
      <c r="U332" s="1"/>
      <c r="V332" s="1"/>
      <c r="W332" s="1"/>
      <c r="X332" s="1"/>
      <c r="Y332" s="1"/>
    </row>
    <row r="333" spans="2:25" s="8" customFormat="1" ht="54.75" customHeight="1" hidden="1">
      <c r="B333" s="401" t="s">
        <v>733</v>
      </c>
      <c r="C333" s="402"/>
      <c r="D333" s="402"/>
      <c r="E333" s="402"/>
      <c r="F333" s="402"/>
      <c r="G333" s="402"/>
      <c r="H333" s="403"/>
      <c r="I333" s="404"/>
      <c r="J333" s="420"/>
      <c r="K333" s="420"/>
      <c r="L333" s="420"/>
      <c r="M333" s="420"/>
      <c r="N333" s="420"/>
      <c r="O333" s="420"/>
      <c r="Q333" s="1"/>
      <c r="R333" s="1"/>
      <c r="S333" s="1"/>
      <c r="T333" s="1"/>
      <c r="U333" s="1"/>
      <c r="V333" s="1"/>
      <c r="W333" s="1"/>
      <c r="X333" s="1"/>
      <c r="Y333" s="1"/>
    </row>
    <row r="334" spans="2:25" s="8" customFormat="1" ht="38.25" customHeight="1" hidden="1">
      <c r="B334" s="401" t="s">
        <v>734</v>
      </c>
      <c r="C334" s="402"/>
      <c r="D334" s="402"/>
      <c r="E334" s="402"/>
      <c r="F334" s="402"/>
      <c r="G334" s="402"/>
      <c r="H334" s="403"/>
      <c r="I334" s="19" t="s">
        <v>735</v>
      </c>
      <c r="J334" s="69"/>
      <c r="K334" s="69"/>
      <c r="L334" s="69"/>
      <c r="M334" s="69"/>
      <c r="N334" s="69"/>
      <c r="O334" s="69"/>
      <c r="Q334" s="1"/>
      <c r="R334" s="1"/>
      <c r="S334" s="1"/>
      <c r="T334" s="1"/>
      <c r="U334" s="1"/>
      <c r="V334" s="1"/>
      <c r="W334" s="1"/>
      <c r="X334" s="1"/>
      <c r="Y334" s="1"/>
    </row>
    <row r="335" spans="2:25" s="8" customFormat="1" ht="18.75" hidden="1">
      <c r="B335" s="301" t="s">
        <v>736</v>
      </c>
      <c r="C335" s="302"/>
      <c r="D335" s="302"/>
      <c r="E335" s="302"/>
      <c r="F335" s="302"/>
      <c r="G335" s="302"/>
      <c r="H335" s="303"/>
      <c r="I335" s="19" t="s">
        <v>737</v>
      </c>
      <c r="J335" s="69">
        <f>H33</f>
        <v>540000</v>
      </c>
      <c r="K335" s="69"/>
      <c r="L335" s="69">
        <f>H103</f>
        <v>540000</v>
      </c>
      <c r="M335" s="69"/>
      <c r="N335" s="69">
        <f>H172</f>
        <v>540000</v>
      </c>
      <c r="O335" s="69"/>
      <c r="Q335" s="1"/>
      <c r="R335" s="1"/>
      <c r="S335" s="1"/>
      <c r="T335" s="1"/>
      <c r="U335" s="1"/>
      <c r="V335" s="1"/>
      <c r="W335" s="1"/>
      <c r="X335" s="1"/>
      <c r="Y335" s="1"/>
    </row>
    <row r="336" spans="2:25" s="8" customFormat="1" ht="56.25" customHeight="1" hidden="1">
      <c r="B336" s="301" t="s">
        <v>738</v>
      </c>
      <c r="C336" s="302"/>
      <c r="D336" s="302"/>
      <c r="E336" s="302"/>
      <c r="F336" s="302"/>
      <c r="G336" s="302"/>
      <c r="H336" s="303"/>
      <c r="I336" s="19" t="s">
        <v>739</v>
      </c>
      <c r="J336" s="69"/>
      <c r="K336" s="69"/>
      <c r="L336" s="69"/>
      <c r="M336" s="69"/>
      <c r="N336" s="69"/>
      <c r="O336" s="69"/>
      <c r="Q336" s="1"/>
      <c r="R336" s="1"/>
      <c r="S336" s="1"/>
      <c r="T336" s="1"/>
      <c r="U336" s="1"/>
      <c r="V336" s="1"/>
      <c r="W336" s="1"/>
      <c r="X336" s="1"/>
      <c r="Y336" s="1"/>
    </row>
    <row r="337" spans="2:15" ht="35.25" customHeight="1" hidden="1">
      <c r="B337" s="301" t="s">
        <v>740</v>
      </c>
      <c r="C337" s="302"/>
      <c r="D337" s="302"/>
      <c r="E337" s="302"/>
      <c r="F337" s="302"/>
      <c r="G337" s="302"/>
      <c r="H337" s="303"/>
      <c r="I337" s="19" t="s">
        <v>710</v>
      </c>
      <c r="J337" s="69"/>
      <c r="K337" s="69"/>
      <c r="L337" s="69"/>
      <c r="M337" s="69"/>
      <c r="N337" s="69"/>
      <c r="O337" s="69"/>
    </row>
    <row r="338" spans="2:15" ht="34.5" customHeight="1" hidden="1">
      <c r="B338" s="301" t="s">
        <v>741</v>
      </c>
      <c r="C338" s="302"/>
      <c r="D338" s="302"/>
      <c r="E338" s="302"/>
      <c r="F338" s="302"/>
      <c r="G338" s="302"/>
      <c r="H338" s="303"/>
      <c r="I338" s="19" t="s">
        <v>712</v>
      </c>
      <c r="J338" s="69"/>
      <c r="K338" s="69"/>
      <c r="L338" s="69"/>
      <c r="M338" s="69"/>
      <c r="N338" s="69"/>
      <c r="O338" s="69"/>
    </row>
    <row r="339" spans="2:9" ht="20.25" customHeight="1" hidden="1">
      <c r="B339" s="421"/>
      <c r="C339" s="421"/>
      <c r="D339" s="421"/>
      <c r="E339" s="421"/>
      <c r="F339" s="421"/>
      <c r="G339" s="421"/>
      <c r="H339" s="421"/>
      <c r="I339" s="196"/>
    </row>
    <row r="340" spans="2:15" ht="18.75" hidden="1">
      <c r="B340" s="280" t="s">
        <v>742</v>
      </c>
      <c r="C340" s="280"/>
      <c r="D340" s="280"/>
      <c r="E340" s="280"/>
      <c r="F340" s="280"/>
      <c r="G340" s="280"/>
      <c r="H340" s="280"/>
      <c r="I340" s="280"/>
      <c r="J340" s="280"/>
      <c r="K340" s="280"/>
      <c r="L340" s="280"/>
      <c r="M340" s="280"/>
      <c r="N340" s="280"/>
      <c r="O340" s="280"/>
    </row>
    <row r="341" spans="2:11" ht="18.75" hidden="1">
      <c r="B341" s="8" t="s">
        <v>743</v>
      </c>
      <c r="K341" s="34"/>
    </row>
    <row r="342" ht="18.75" hidden="1"/>
    <row r="343" spans="1:16" s="423" customFormat="1" ht="18.75" hidden="1">
      <c r="A343" s="422"/>
      <c r="B343" s="327" t="s">
        <v>744</v>
      </c>
      <c r="C343" s="327"/>
      <c r="D343" s="327" t="s">
        <v>1</v>
      </c>
      <c r="E343" s="327"/>
      <c r="F343" s="407" t="s">
        <v>745</v>
      </c>
      <c r="G343" s="408"/>
      <c r="H343" s="408"/>
      <c r="I343" s="409"/>
      <c r="J343" s="407" t="s">
        <v>746</v>
      </c>
      <c r="K343" s="408"/>
      <c r="L343" s="409"/>
      <c r="M343" s="407" t="s">
        <v>747</v>
      </c>
      <c r="N343" s="408"/>
      <c r="O343" s="409"/>
      <c r="P343" s="422"/>
    </row>
    <row r="344" spans="1:16" s="423" customFormat="1" ht="18.75" hidden="1">
      <c r="A344" s="422"/>
      <c r="B344" s="327"/>
      <c r="C344" s="327"/>
      <c r="D344" s="327"/>
      <c r="E344" s="327"/>
      <c r="F344" s="413"/>
      <c r="G344" s="414"/>
      <c r="H344" s="414"/>
      <c r="I344" s="415"/>
      <c r="J344" s="413"/>
      <c r="K344" s="414"/>
      <c r="L344" s="415"/>
      <c r="M344" s="413"/>
      <c r="N344" s="414"/>
      <c r="O344" s="415"/>
      <c r="P344" s="422"/>
    </row>
    <row r="345" spans="1:16" s="423" customFormat="1" ht="18.75" hidden="1">
      <c r="A345" s="422"/>
      <c r="B345" s="327"/>
      <c r="C345" s="327"/>
      <c r="D345" s="327"/>
      <c r="E345" s="327"/>
      <c r="F345" s="345" t="s">
        <v>696</v>
      </c>
      <c r="G345" s="347"/>
      <c r="H345" s="424" t="s">
        <v>697</v>
      </c>
      <c r="I345" s="424" t="s">
        <v>698</v>
      </c>
      <c r="J345" s="424" t="s">
        <v>696</v>
      </c>
      <c r="K345" s="424" t="s">
        <v>697</v>
      </c>
      <c r="L345" s="424" t="s">
        <v>698</v>
      </c>
      <c r="M345" s="424" t="s">
        <v>696</v>
      </c>
      <c r="N345" s="424" t="s">
        <v>697</v>
      </c>
      <c r="O345" s="424" t="s">
        <v>698</v>
      </c>
      <c r="P345" s="422"/>
    </row>
    <row r="346" spans="1:16" s="392" customFormat="1" ht="18.75" hidden="1">
      <c r="A346" s="18"/>
      <c r="B346" s="337">
        <v>1</v>
      </c>
      <c r="C346" s="339"/>
      <c r="D346" s="337">
        <v>2</v>
      </c>
      <c r="E346" s="339"/>
      <c r="F346" s="337">
        <v>3</v>
      </c>
      <c r="G346" s="339"/>
      <c r="H346" s="22">
        <v>4</v>
      </c>
      <c r="I346" s="22">
        <v>5</v>
      </c>
      <c r="J346" s="22">
        <v>6</v>
      </c>
      <c r="K346" s="22">
        <v>7</v>
      </c>
      <c r="L346" s="22">
        <v>8</v>
      </c>
      <c r="M346" s="22">
        <v>9</v>
      </c>
      <c r="N346" s="22">
        <v>10</v>
      </c>
      <c r="O346" s="22">
        <v>11</v>
      </c>
      <c r="P346" s="18"/>
    </row>
    <row r="347" spans="2:17" ht="98.25" customHeight="1" hidden="1">
      <c r="B347" s="292" t="s">
        <v>748</v>
      </c>
      <c r="C347" s="294"/>
      <c r="D347" s="425" t="s">
        <v>145</v>
      </c>
      <c r="E347" s="426"/>
      <c r="F347" s="337"/>
      <c r="G347" s="339"/>
      <c r="H347" s="21"/>
      <c r="I347" s="21"/>
      <c r="J347" s="69"/>
      <c r="K347" s="69"/>
      <c r="L347" s="69"/>
      <c r="M347" s="69">
        <f>(H31*44)/100</f>
        <v>18963013.08</v>
      </c>
      <c r="N347" s="69">
        <f>(H101*44)/100</f>
        <v>18632368.48</v>
      </c>
      <c r="O347" s="69">
        <f>(H170*44)/100</f>
        <v>18663036.48</v>
      </c>
      <c r="Q347" s="8">
        <v>44</v>
      </c>
    </row>
    <row r="348" spans="2:17" ht="101.25" customHeight="1" hidden="1">
      <c r="B348" s="292" t="s">
        <v>749</v>
      </c>
      <c r="C348" s="294"/>
      <c r="D348" s="427" t="s">
        <v>146</v>
      </c>
      <c r="E348" s="428"/>
      <c r="F348" s="429"/>
      <c r="G348" s="430"/>
      <c r="H348" s="21"/>
      <c r="I348" s="21"/>
      <c r="J348" s="69"/>
      <c r="K348" s="69"/>
      <c r="L348" s="69"/>
      <c r="M348" s="69">
        <f>(H31*48)/100</f>
        <v>20686923.36</v>
      </c>
      <c r="N348" s="69">
        <f>(H101*48)/100</f>
        <v>20326220.16</v>
      </c>
      <c r="O348" s="69">
        <f>(H170*48)/100</f>
        <v>20359676.16</v>
      </c>
      <c r="Q348" s="8">
        <v>48</v>
      </c>
    </row>
    <row r="349" spans="2:17" ht="100.5" customHeight="1" hidden="1">
      <c r="B349" s="292" t="s">
        <v>750</v>
      </c>
      <c r="C349" s="294"/>
      <c r="D349" s="425" t="s">
        <v>751</v>
      </c>
      <c r="E349" s="426"/>
      <c r="F349" s="337"/>
      <c r="G349" s="339"/>
      <c r="H349" s="21"/>
      <c r="I349" s="21"/>
      <c r="J349" s="69"/>
      <c r="K349" s="69"/>
      <c r="L349" s="69"/>
      <c r="M349" s="69">
        <f>(H31*8)/100</f>
        <v>3447820.56</v>
      </c>
      <c r="N349" s="69">
        <f>(H101*8)/100</f>
        <v>3387703.36</v>
      </c>
      <c r="O349" s="69">
        <f>(H170*8)/100</f>
        <v>3393279.36</v>
      </c>
      <c r="Q349" s="8">
        <v>8</v>
      </c>
    </row>
    <row r="350" spans="2:15" ht="18.75" hidden="1">
      <c r="B350" s="341" t="s">
        <v>130</v>
      </c>
      <c r="C350" s="343"/>
      <c r="D350" s="425" t="s">
        <v>729</v>
      </c>
      <c r="E350" s="426"/>
      <c r="F350" s="341" t="s">
        <v>6</v>
      </c>
      <c r="G350" s="343"/>
      <c r="H350" s="416" t="s">
        <v>6</v>
      </c>
      <c r="I350" s="416" t="s">
        <v>6</v>
      </c>
      <c r="J350" s="416" t="s">
        <v>6</v>
      </c>
      <c r="K350" s="416" t="s">
        <v>6</v>
      </c>
      <c r="L350" s="431" t="s">
        <v>6</v>
      </c>
      <c r="M350" s="432">
        <f>M349+M348+M347</f>
        <v>43097757</v>
      </c>
      <c r="N350" s="432">
        <f>N349+N348+N347</f>
        <v>42346292</v>
      </c>
      <c r="O350" s="432">
        <f>O349+O348+O347</f>
        <v>42415992</v>
      </c>
    </row>
    <row r="351" ht="18.75" hidden="1"/>
    <row r="352" spans="2:15" ht="18.75" hidden="1">
      <c r="B352" s="280" t="s">
        <v>752</v>
      </c>
      <c r="C352" s="280"/>
      <c r="D352" s="280"/>
      <c r="E352" s="280"/>
      <c r="F352" s="280"/>
      <c r="G352" s="280"/>
      <c r="H352" s="280"/>
      <c r="I352" s="280"/>
      <c r="J352" s="280"/>
      <c r="K352" s="280"/>
      <c r="L352" s="280"/>
      <c r="M352" s="280"/>
      <c r="N352" s="280"/>
      <c r="O352" s="280"/>
    </row>
    <row r="353" spans="2:11" ht="18.75" hidden="1">
      <c r="B353" s="8" t="s">
        <v>753</v>
      </c>
      <c r="K353" s="34"/>
    </row>
    <row r="354" ht="18.75" hidden="1"/>
    <row r="355" spans="1:16" s="423" customFormat="1" ht="18.75" hidden="1">
      <c r="A355" s="422"/>
      <c r="B355" s="327" t="s">
        <v>744</v>
      </c>
      <c r="C355" s="327"/>
      <c r="D355" s="327" t="s">
        <v>1</v>
      </c>
      <c r="E355" s="327"/>
      <c r="F355" s="407" t="s">
        <v>745</v>
      </c>
      <c r="G355" s="408"/>
      <c r="H355" s="408"/>
      <c r="I355" s="409"/>
      <c r="J355" s="407" t="s">
        <v>746</v>
      </c>
      <c r="K355" s="408"/>
      <c r="L355" s="409"/>
      <c r="M355" s="407" t="s">
        <v>747</v>
      </c>
      <c r="N355" s="408"/>
      <c r="O355" s="409"/>
      <c r="P355" s="422"/>
    </row>
    <row r="356" spans="1:16" s="423" customFormat="1" ht="18.75" hidden="1">
      <c r="A356" s="422"/>
      <c r="B356" s="327"/>
      <c r="C356" s="327"/>
      <c r="D356" s="327"/>
      <c r="E356" s="327"/>
      <c r="F356" s="413"/>
      <c r="G356" s="414"/>
      <c r="H356" s="414"/>
      <c r="I356" s="415"/>
      <c r="J356" s="413"/>
      <c r="K356" s="414"/>
      <c r="L356" s="415"/>
      <c r="M356" s="413"/>
      <c r="N356" s="414"/>
      <c r="O356" s="415"/>
      <c r="P356" s="422"/>
    </row>
    <row r="357" spans="1:16" s="423" customFormat="1" ht="18.75" hidden="1">
      <c r="A357" s="422"/>
      <c r="B357" s="327"/>
      <c r="C357" s="327"/>
      <c r="D357" s="327"/>
      <c r="E357" s="327"/>
      <c r="F357" s="345" t="s">
        <v>696</v>
      </c>
      <c r="G357" s="347"/>
      <c r="H357" s="424" t="s">
        <v>697</v>
      </c>
      <c r="I357" s="424" t="s">
        <v>698</v>
      </c>
      <c r="J357" s="424" t="s">
        <v>696</v>
      </c>
      <c r="K357" s="424" t="s">
        <v>697</v>
      </c>
      <c r="L357" s="424" t="s">
        <v>698</v>
      </c>
      <c r="M357" s="424" t="s">
        <v>696</v>
      </c>
      <c r="N357" s="424" t="s">
        <v>697</v>
      </c>
      <c r="O357" s="424" t="s">
        <v>698</v>
      </c>
      <c r="P357" s="422"/>
    </row>
    <row r="358" spans="1:16" s="392" customFormat="1" ht="18.75" hidden="1">
      <c r="A358" s="18"/>
      <c r="B358" s="337">
        <v>1</v>
      </c>
      <c r="C358" s="339"/>
      <c r="D358" s="337">
        <v>2</v>
      </c>
      <c r="E358" s="339"/>
      <c r="F358" s="337">
        <v>3</v>
      </c>
      <c r="G358" s="339"/>
      <c r="H358" s="22">
        <v>4</v>
      </c>
      <c r="I358" s="22">
        <v>5</v>
      </c>
      <c r="J358" s="22">
        <v>6</v>
      </c>
      <c r="K358" s="22">
        <v>7</v>
      </c>
      <c r="L358" s="22">
        <v>8</v>
      </c>
      <c r="M358" s="22">
        <v>9</v>
      </c>
      <c r="N358" s="22">
        <v>10</v>
      </c>
      <c r="O358" s="22">
        <v>11</v>
      </c>
      <c r="P358" s="18"/>
    </row>
    <row r="359" spans="2:15" ht="97.5" customHeight="1" hidden="1">
      <c r="B359" s="301" t="s">
        <v>754</v>
      </c>
      <c r="C359" s="303"/>
      <c r="D359" s="425" t="s">
        <v>145</v>
      </c>
      <c r="E359" s="426"/>
      <c r="F359" s="396">
        <v>50</v>
      </c>
      <c r="G359" s="397"/>
      <c r="H359" s="69">
        <v>50</v>
      </c>
      <c r="I359" s="69">
        <v>50</v>
      </c>
      <c r="J359" s="69">
        <f>M359/F359</f>
        <v>10800</v>
      </c>
      <c r="K359" s="69">
        <f>N359/H359</f>
        <v>10800</v>
      </c>
      <c r="L359" s="69">
        <f>O359/I359</f>
        <v>10800</v>
      </c>
      <c r="M359" s="69">
        <f>M33</f>
        <v>540000</v>
      </c>
      <c r="N359" s="69">
        <f>M103</f>
        <v>540000</v>
      </c>
      <c r="O359" s="69">
        <f>M172</f>
        <v>540000</v>
      </c>
    </row>
    <row r="360" spans="2:15" ht="18.75" hidden="1">
      <c r="B360" s="337"/>
      <c r="C360" s="339"/>
      <c r="D360" s="425" t="s">
        <v>146</v>
      </c>
      <c r="E360" s="426"/>
      <c r="F360" s="337"/>
      <c r="G360" s="339"/>
      <c r="H360" s="21"/>
      <c r="I360" s="21"/>
      <c r="J360" s="21"/>
      <c r="K360" s="21"/>
      <c r="L360" s="21"/>
      <c r="M360" s="21"/>
      <c r="N360" s="21"/>
      <c r="O360" s="21"/>
    </row>
    <row r="361" spans="2:15" ht="18.75" hidden="1">
      <c r="B361" s="341" t="s">
        <v>130</v>
      </c>
      <c r="C361" s="343"/>
      <c r="D361" s="425" t="s">
        <v>729</v>
      </c>
      <c r="E361" s="426"/>
      <c r="F361" s="341" t="s">
        <v>6</v>
      </c>
      <c r="G361" s="343"/>
      <c r="H361" s="416" t="s">
        <v>6</v>
      </c>
      <c r="I361" s="416" t="s">
        <v>6</v>
      </c>
      <c r="J361" s="416" t="s">
        <v>6</v>
      </c>
      <c r="K361" s="416" t="s">
        <v>6</v>
      </c>
      <c r="L361" s="431" t="s">
        <v>6</v>
      </c>
      <c r="M361" s="433"/>
      <c r="N361" s="21"/>
      <c r="O361" s="21"/>
    </row>
    <row r="363" spans="2:15" ht="18.75" hidden="1">
      <c r="B363" s="278" t="s">
        <v>147</v>
      </c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</row>
    <row r="364" spans="2:15" ht="18.75" hidden="1">
      <c r="B364" s="278" t="s">
        <v>755</v>
      </c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</row>
    <row r="365" spans="2:14" ht="18.75" hidden="1">
      <c r="B365" s="8" t="s">
        <v>148</v>
      </c>
      <c r="D365" s="280" t="s">
        <v>298</v>
      </c>
      <c r="E365" s="280"/>
      <c r="F365" s="280"/>
      <c r="G365" s="280"/>
      <c r="H365" s="280"/>
      <c r="I365" s="280"/>
      <c r="J365" s="280"/>
      <c r="K365" s="280"/>
      <c r="L365" s="280"/>
      <c r="M365" s="280"/>
      <c r="N365" s="280"/>
    </row>
    <row r="366" spans="2:14" ht="18.75" hidden="1">
      <c r="B366" s="8" t="s">
        <v>149</v>
      </c>
      <c r="C366" s="40"/>
      <c r="D366" s="281" t="s">
        <v>297</v>
      </c>
      <c r="E366" s="281"/>
      <c r="F366" s="281"/>
      <c r="G366" s="281"/>
      <c r="H366" s="281"/>
      <c r="I366" s="281"/>
      <c r="J366" s="281"/>
      <c r="K366" s="281"/>
      <c r="L366" s="281"/>
      <c r="M366" s="281"/>
      <c r="N366" s="281"/>
    </row>
    <row r="367" ht="18.75" hidden="1">
      <c r="B367" s="8" t="s">
        <v>150</v>
      </c>
    </row>
    <row r="368" spans="2:14" ht="18.75" hidden="1">
      <c r="B368" s="8" t="s">
        <v>756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ht="18.75" hidden="1">
      <c r="B369" s="8" t="s">
        <v>757</v>
      </c>
    </row>
    <row r="370" ht="15.75" customHeight="1" hidden="1"/>
    <row r="371" ht="18.75" hidden="1">
      <c r="B371" s="8" t="s">
        <v>758</v>
      </c>
    </row>
    <row r="372" ht="15" customHeight="1" hidden="1"/>
    <row r="373" spans="2:15" ht="18.75" hidden="1">
      <c r="B373" s="308" t="s">
        <v>0</v>
      </c>
      <c r="C373" s="309"/>
      <c r="D373" s="309"/>
      <c r="E373" s="309"/>
      <c r="F373" s="309"/>
      <c r="G373" s="309"/>
      <c r="H373" s="310"/>
      <c r="I373" s="434" t="s">
        <v>1</v>
      </c>
      <c r="J373" s="337" t="s">
        <v>695</v>
      </c>
      <c r="K373" s="338"/>
      <c r="L373" s="338"/>
      <c r="M373" s="338"/>
      <c r="N373" s="338"/>
      <c r="O373" s="339"/>
    </row>
    <row r="374" spans="2:15" ht="18.75" hidden="1">
      <c r="B374" s="311"/>
      <c r="C374" s="312"/>
      <c r="D374" s="312"/>
      <c r="E374" s="312"/>
      <c r="F374" s="312"/>
      <c r="G374" s="312"/>
      <c r="H374" s="313"/>
      <c r="I374" s="435"/>
      <c r="J374" s="436" t="s">
        <v>759</v>
      </c>
      <c r="K374" s="437"/>
      <c r="L374" s="436" t="s">
        <v>760</v>
      </c>
      <c r="M374" s="437"/>
      <c r="N374" s="436" t="s">
        <v>761</v>
      </c>
      <c r="O374" s="437"/>
    </row>
    <row r="375" spans="2:15" ht="18.75" hidden="1">
      <c r="B375" s="349"/>
      <c r="C375" s="350"/>
      <c r="D375" s="350"/>
      <c r="E375" s="350"/>
      <c r="F375" s="350"/>
      <c r="G375" s="350"/>
      <c r="H375" s="351"/>
      <c r="I375" s="438"/>
      <c r="J375" s="439"/>
      <c r="K375" s="440"/>
      <c r="L375" s="439"/>
      <c r="M375" s="440"/>
      <c r="N375" s="439"/>
      <c r="O375" s="440"/>
    </row>
    <row r="376" spans="1:16" s="392" customFormat="1" ht="18.75" hidden="1">
      <c r="A376" s="18"/>
      <c r="B376" s="337">
        <v>1</v>
      </c>
      <c r="C376" s="338"/>
      <c r="D376" s="338"/>
      <c r="E376" s="338"/>
      <c r="F376" s="338"/>
      <c r="G376" s="338"/>
      <c r="H376" s="339"/>
      <c r="I376" s="22">
        <v>2</v>
      </c>
      <c r="J376" s="337">
        <v>3</v>
      </c>
      <c r="K376" s="339"/>
      <c r="L376" s="337">
        <v>4</v>
      </c>
      <c r="M376" s="339"/>
      <c r="N376" s="337">
        <v>5</v>
      </c>
      <c r="O376" s="339"/>
      <c r="P376" s="18"/>
    </row>
    <row r="377" spans="2:15" ht="18.75" hidden="1">
      <c r="B377" s="341" t="s">
        <v>762</v>
      </c>
      <c r="C377" s="342"/>
      <c r="D377" s="342"/>
      <c r="E377" s="342"/>
      <c r="F377" s="342"/>
      <c r="G377" s="342"/>
      <c r="H377" s="343"/>
      <c r="I377" s="22">
        <v>100</v>
      </c>
      <c r="J377" s="337"/>
      <c r="K377" s="339"/>
      <c r="L377" s="337"/>
      <c r="M377" s="339"/>
      <c r="N377" s="337"/>
      <c r="O377" s="339"/>
    </row>
    <row r="378" spans="2:8" ht="18.75" hidden="1">
      <c r="B378" s="18"/>
      <c r="C378" s="18"/>
      <c r="D378" s="18"/>
      <c r="E378" s="18"/>
      <c r="F378" s="18"/>
      <c r="G378" s="18"/>
      <c r="H378" s="18"/>
    </row>
    <row r="379" spans="2:8" ht="18.75" hidden="1">
      <c r="B379" s="8" t="s">
        <v>763</v>
      </c>
      <c r="C379" s="18"/>
      <c r="D379" s="18"/>
      <c r="E379" s="18"/>
      <c r="F379" s="18"/>
      <c r="G379" s="18"/>
      <c r="H379" s="18"/>
    </row>
    <row r="380" ht="18.75" hidden="1"/>
    <row r="381" spans="2:15" ht="18.75" hidden="1">
      <c r="B381" s="308" t="s">
        <v>0</v>
      </c>
      <c r="C381" s="309"/>
      <c r="D381" s="309"/>
      <c r="E381" s="309"/>
      <c r="F381" s="309"/>
      <c r="G381" s="309"/>
      <c r="H381" s="310"/>
      <c r="I381" s="434" t="s">
        <v>1</v>
      </c>
      <c r="J381" s="337" t="s">
        <v>695</v>
      </c>
      <c r="K381" s="338"/>
      <c r="L381" s="338"/>
      <c r="M381" s="338"/>
      <c r="N381" s="338"/>
      <c r="O381" s="339"/>
    </row>
    <row r="382" spans="2:15" ht="18.75" hidden="1">
      <c r="B382" s="311"/>
      <c r="C382" s="312"/>
      <c r="D382" s="312"/>
      <c r="E382" s="312"/>
      <c r="F382" s="312"/>
      <c r="G382" s="312"/>
      <c r="H382" s="313"/>
      <c r="I382" s="435"/>
      <c r="J382" s="436" t="s">
        <v>759</v>
      </c>
      <c r="K382" s="437"/>
      <c r="L382" s="436" t="s">
        <v>760</v>
      </c>
      <c r="M382" s="437"/>
      <c r="N382" s="436" t="s">
        <v>761</v>
      </c>
      <c r="O382" s="437"/>
    </row>
    <row r="383" spans="2:15" ht="18.75" hidden="1">
      <c r="B383" s="349"/>
      <c r="C383" s="350"/>
      <c r="D383" s="350"/>
      <c r="E383" s="350"/>
      <c r="F383" s="350"/>
      <c r="G383" s="350"/>
      <c r="H383" s="351"/>
      <c r="I383" s="438"/>
      <c r="J383" s="439"/>
      <c r="K383" s="440"/>
      <c r="L383" s="439"/>
      <c r="M383" s="440"/>
      <c r="N383" s="439"/>
      <c r="O383" s="440"/>
    </row>
    <row r="384" spans="2:15" ht="18.75" hidden="1">
      <c r="B384" s="337">
        <v>1</v>
      </c>
      <c r="C384" s="338"/>
      <c r="D384" s="338"/>
      <c r="E384" s="338"/>
      <c r="F384" s="338"/>
      <c r="G384" s="338"/>
      <c r="H384" s="339"/>
      <c r="I384" s="22">
        <v>2</v>
      </c>
      <c r="J384" s="337">
        <v>3</v>
      </c>
      <c r="K384" s="339"/>
      <c r="L384" s="337">
        <v>4</v>
      </c>
      <c r="M384" s="339"/>
      <c r="N384" s="337">
        <v>5</v>
      </c>
      <c r="O384" s="339"/>
    </row>
    <row r="385" spans="2:25" s="8" customFormat="1" ht="39" customHeight="1" hidden="1">
      <c r="B385" s="301" t="s">
        <v>764</v>
      </c>
      <c r="C385" s="302"/>
      <c r="D385" s="302"/>
      <c r="E385" s="302"/>
      <c r="F385" s="302"/>
      <c r="G385" s="302"/>
      <c r="H385" s="303"/>
      <c r="I385" s="19" t="s">
        <v>765</v>
      </c>
      <c r="J385" s="337"/>
      <c r="K385" s="339"/>
      <c r="L385" s="337"/>
      <c r="M385" s="339"/>
      <c r="N385" s="337"/>
      <c r="O385" s="339"/>
      <c r="Q385" s="1"/>
      <c r="R385" s="1"/>
      <c r="S385" s="1"/>
      <c r="T385" s="1"/>
      <c r="U385" s="1"/>
      <c r="V385" s="1"/>
      <c r="W385" s="1"/>
      <c r="X385" s="1"/>
      <c r="Y385" s="1"/>
    </row>
    <row r="386" spans="2:25" s="8" customFormat="1" ht="18.75" hidden="1">
      <c r="B386" s="301"/>
      <c r="C386" s="302"/>
      <c r="D386" s="302"/>
      <c r="E386" s="302"/>
      <c r="F386" s="302"/>
      <c r="G386" s="302"/>
      <c r="H386" s="303"/>
      <c r="I386" s="19" t="s">
        <v>766</v>
      </c>
      <c r="J386" s="337"/>
      <c r="K386" s="339"/>
      <c r="L386" s="337"/>
      <c r="M386" s="339"/>
      <c r="N386" s="337"/>
      <c r="O386" s="339"/>
      <c r="Q386" s="1"/>
      <c r="R386" s="1"/>
      <c r="S386" s="1"/>
      <c r="T386" s="1"/>
      <c r="U386" s="1"/>
      <c r="V386" s="1"/>
      <c r="W386" s="1"/>
      <c r="X386" s="1"/>
      <c r="Y386" s="1"/>
    </row>
    <row r="387" spans="2:25" s="8" customFormat="1" ht="18.75" hidden="1">
      <c r="B387" s="301"/>
      <c r="C387" s="302"/>
      <c r="D387" s="302"/>
      <c r="E387" s="302"/>
      <c r="F387" s="302"/>
      <c r="G387" s="302"/>
      <c r="H387" s="303"/>
      <c r="I387" s="19" t="s">
        <v>767</v>
      </c>
      <c r="J387" s="337"/>
      <c r="K387" s="339"/>
      <c r="L387" s="337"/>
      <c r="M387" s="339"/>
      <c r="N387" s="337"/>
      <c r="O387" s="339"/>
      <c r="Q387" s="1"/>
      <c r="R387" s="1"/>
      <c r="S387" s="1"/>
      <c r="T387" s="1"/>
      <c r="U387" s="1"/>
      <c r="V387" s="1"/>
      <c r="W387" s="1"/>
      <c r="X387" s="1"/>
      <c r="Y387" s="1"/>
    </row>
    <row r="388" spans="2:25" s="8" customFormat="1" ht="36" customHeight="1" hidden="1">
      <c r="B388" s="301" t="s">
        <v>768</v>
      </c>
      <c r="C388" s="302"/>
      <c r="D388" s="302"/>
      <c r="E388" s="302"/>
      <c r="F388" s="302"/>
      <c r="G388" s="302"/>
      <c r="H388" s="303"/>
      <c r="I388" s="19" t="s">
        <v>769</v>
      </c>
      <c r="J388" s="337"/>
      <c r="K388" s="339"/>
      <c r="L388" s="337"/>
      <c r="M388" s="339"/>
      <c r="N388" s="337"/>
      <c r="O388" s="339"/>
      <c r="Q388" s="1"/>
      <c r="R388" s="1"/>
      <c r="S388" s="1"/>
      <c r="T388" s="1"/>
      <c r="U388" s="1"/>
      <c r="V388" s="1"/>
      <c r="W388" s="1"/>
      <c r="X388" s="1"/>
      <c r="Y388" s="1"/>
    </row>
    <row r="389" spans="2:25" s="8" customFormat="1" ht="18.75" hidden="1">
      <c r="B389" s="301"/>
      <c r="C389" s="302"/>
      <c r="D389" s="302"/>
      <c r="E389" s="302"/>
      <c r="F389" s="302"/>
      <c r="G389" s="302"/>
      <c r="H389" s="303"/>
      <c r="I389" s="19" t="s">
        <v>770</v>
      </c>
      <c r="J389" s="337"/>
      <c r="K389" s="339"/>
      <c r="L389" s="337"/>
      <c r="M389" s="339"/>
      <c r="N389" s="337"/>
      <c r="O389" s="339"/>
      <c r="Q389" s="1"/>
      <c r="R389" s="1"/>
      <c r="S389" s="1"/>
      <c r="T389" s="1"/>
      <c r="U389" s="1"/>
      <c r="V389" s="1"/>
      <c r="W389" s="1"/>
      <c r="X389" s="1"/>
      <c r="Y389" s="1"/>
    </row>
    <row r="390" spans="2:25" s="8" customFormat="1" ht="18.75" hidden="1">
      <c r="B390" s="301"/>
      <c r="C390" s="302"/>
      <c r="D390" s="302"/>
      <c r="E390" s="302"/>
      <c r="F390" s="302"/>
      <c r="G390" s="302"/>
      <c r="H390" s="303"/>
      <c r="I390" s="19" t="s">
        <v>771</v>
      </c>
      <c r="J390" s="337"/>
      <c r="K390" s="339"/>
      <c r="L390" s="337"/>
      <c r="M390" s="339"/>
      <c r="N390" s="337"/>
      <c r="O390" s="339"/>
      <c r="Q390" s="1"/>
      <c r="R390" s="1"/>
      <c r="S390" s="1"/>
      <c r="T390" s="1"/>
      <c r="U390" s="1"/>
      <c r="V390" s="1"/>
      <c r="W390" s="1"/>
      <c r="X390" s="1"/>
      <c r="Y390" s="1"/>
    </row>
    <row r="391" spans="2:25" s="8" customFormat="1" ht="39" customHeight="1" hidden="1">
      <c r="B391" s="301" t="s">
        <v>772</v>
      </c>
      <c r="C391" s="302"/>
      <c r="D391" s="302"/>
      <c r="E391" s="302"/>
      <c r="F391" s="302"/>
      <c r="G391" s="302"/>
      <c r="H391" s="303"/>
      <c r="I391" s="19" t="s">
        <v>773</v>
      </c>
      <c r="J391" s="337"/>
      <c r="K391" s="339"/>
      <c r="L391" s="337"/>
      <c r="M391" s="339"/>
      <c r="N391" s="337"/>
      <c r="O391" s="339"/>
      <c r="Q391" s="1"/>
      <c r="R391" s="1"/>
      <c r="S391" s="1"/>
      <c r="T391" s="1"/>
      <c r="U391" s="1"/>
      <c r="V391" s="1"/>
      <c r="W391" s="1"/>
      <c r="X391" s="1"/>
      <c r="Y391" s="1"/>
    </row>
    <row r="392" spans="2:25" s="8" customFormat="1" ht="18.75" hidden="1">
      <c r="B392" s="301"/>
      <c r="C392" s="302"/>
      <c r="D392" s="302"/>
      <c r="E392" s="302"/>
      <c r="F392" s="302"/>
      <c r="G392" s="302"/>
      <c r="H392" s="303"/>
      <c r="I392" s="19" t="s">
        <v>774</v>
      </c>
      <c r="J392" s="337"/>
      <c r="K392" s="339"/>
      <c r="L392" s="337"/>
      <c r="M392" s="339"/>
      <c r="N392" s="337"/>
      <c r="O392" s="339"/>
      <c r="Q392" s="1"/>
      <c r="R392" s="1"/>
      <c r="S392" s="1"/>
      <c r="T392" s="1"/>
      <c r="U392" s="1"/>
      <c r="V392" s="1"/>
      <c r="W392" s="1"/>
      <c r="X392" s="1"/>
      <c r="Y392" s="1"/>
    </row>
    <row r="393" spans="2:25" s="8" customFormat="1" ht="18.75" hidden="1">
      <c r="B393" s="301"/>
      <c r="C393" s="302"/>
      <c r="D393" s="302"/>
      <c r="E393" s="302"/>
      <c r="F393" s="302"/>
      <c r="G393" s="302"/>
      <c r="H393" s="303"/>
      <c r="I393" s="19" t="s">
        <v>775</v>
      </c>
      <c r="J393" s="337"/>
      <c r="K393" s="339"/>
      <c r="L393" s="337"/>
      <c r="M393" s="339"/>
      <c r="N393" s="337"/>
      <c r="O393" s="339"/>
      <c r="Q393" s="1"/>
      <c r="R393" s="1"/>
      <c r="S393" s="1"/>
      <c r="T393" s="1"/>
      <c r="U393" s="1"/>
      <c r="V393" s="1"/>
      <c r="W393" s="1"/>
      <c r="X393" s="1"/>
      <c r="Y393" s="1"/>
    </row>
    <row r="394" spans="2:25" s="8" customFormat="1" ht="54" customHeight="1" hidden="1">
      <c r="B394" s="301" t="s">
        <v>776</v>
      </c>
      <c r="C394" s="302"/>
      <c r="D394" s="302"/>
      <c r="E394" s="302"/>
      <c r="F394" s="302"/>
      <c r="G394" s="302"/>
      <c r="H394" s="303"/>
      <c r="I394" s="19" t="s">
        <v>777</v>
      </c>
      <c r="J394" s="337"/>
      <c r="K394" s="339"/>
      <c r="L394" s="337"/>
      <c r="M394" s="339"/>
      <c r="N394" s="337"/>
      <c r="O394" s="339"/>
      <c r="Q394" s="1"/>
      <c r="R394" s="1"/>
      <c r="S394" s="1"/>
      <c r="T394" s="1"/>
      <c r="U394" s="1"/>
      <c r="V394" s="1"/>
      <c r="W394" s="1"/>
      <c r="X394" s="1"/>
      <c r="Y394" s="1"/>
    </row>
    <row r="395" spans="2:25" s="8" customFormat="1" ht="18.75" hidden="1">
      <c r="B395" s="301"/>
      <c r="C395" s="302"/>
      <c r="D395" s="302"/>
      <c r="E395" s="302"/>
      <c r="F395" s="302"/>
      <c r="G395" s="302"/>
      <c r="H395" s="303"/>
      <c r="I395" s="19" t="s">
        <v>778</v>
      </c>
      <c r="J395" s="337"/>
      <c r="K395" s="339"/>
      <c r="L395" s="337"/>
      <c r="M395" s="339"/>
      <c r="N395" s="337"/>
      <c r="O395" s="339"/>
      <c r="Q395" s="1"/>
      <c r="R395" s="1"/>
      <c r="S395" s="1"/>
      <c r="T395" s="1"/>
      <c r="U395" s="1"/>
      <c r="V395" s="1"/>
      <c r="W395" s="1"/>
      <c r="X395" s="1"/>
      <c r="Y395" s="1"/>
    </row>
    <row r="396" spans="2:25" s="8" customFormat="1" ht="18.75" hidden="1">
      <c r="B396" s="301"/>
      <c r="C396" s="302"/>
      <c r="D396" s="302"/>
      <c r="E396" s="302"/>
      <c r="F396" s="302"/>
      <c r="G396" s="302"/>
      <c r="H396" s="303"/>
      <c r="I396" s="19" t="s">
        <v>779</v>
      </c>
      <c r="J396" s="337"/>
      <c r="K396" s="339"/>
      <c r="L396" s="337"/>
      <c r="M396" s="339"/>
      <c r="N396" s="337"/>
      <c r="O396" s="339"/>
      <c r="Q396" s="1"/>
      <c r="R396" s="1"/>
      <c r="S396" s="1"/>
      <c r="T396" s="1"/>
      <c r="U396" s="1"/>
      <c r="V396" s="1"/>
      <c r="W396" s="1"/>
      <c r="X396" s="1"/>
      <c r="Y396" s="1"/>
    </row>
    <row r="397" spans="2:25" s="8" customFormat="1" ht="18.75" hidden="1">
      <c r="B397" s="301" t="s">
        <v>780</v>
      </c>
      <c r="C397" s="302"/>
      <c r="D397" s="302"/>
      <c r="E397" s="302"/>
      <c r="F397" s="302"/>
      <c r="G397" s="302"/>
      <c r="H397" s="303"/>
      <c r="I397" s="19" t="s">
        <v>781</v>
      </c>
      <c r="J397" s="337"/>
      <c r="K397" s="339"/>
      <c r="L397" s="337"/>
      <c r="M397" s="339"/>
      <c r="N397" s="337"/>
      <c r="O397" s="339"/>
      <c r="Q397" s="1"/>
      <c r="R397" s="1"/>
      <c r="S397" s="1"/>
      <c r="T397" s="1"/>
      <c r="U397" s="1"/>
      <c r="V397" s="1"/>
      <c r="W397" s="1"/>
      <c r="X397" s="1"/>
      <c r="Y397" s="1"/>
    </row>
    <row r="398" spans="2:25" s="8" customFormat="1" ht="18.75" hidden="1">
      <c r="B398" s="301"/>
      <c r="C398" s="302"/>
      <c r="D398" s="302"/>
      <c r="E398" s="302"/>
      <c r="F398" s="302"/>
      <c r="G398" s="302"/>
      <c r="H398" s="303"/>
      <c r="I398" s="19" t="s">
        <v>782</v>
      </c>
      <c r="J398" s="337"/>
      <c r="K398" s="339"/>
      <c r="L398" s="337"/>
      <c r="M398" s="339"/>
      <c r="N398" s="337"/>
      <c r="O398" s="339"/>
      <c r="Q398" s="1"/>
      <c r="R398" s="1"/>
      <c r="S398" s="1"/>
      <c r="T398" s="1"/>
      <c r="U398" s="1"/>
      <c r="V398" s="1"/>
      <c r="W398" s="1"/>
      <c r="X398" s="1"/>
      <c r="Y398" s="1"/>
    </row>
    <row r="399" spans="2:25" s="8" customFormat="1" ht="18.75" hidden="1">
      <c r="B399" s="301"/>
      <c r="C399" s="302"/>
      <c r="D399" s="302"/>
      <c r="E399" s="302"/>
      <c r="F399" s="302"/>
      <c r="G399" s="302"/>
      <c r="H399" s="303"/>
      <c r="I399" s="19" t="s">
        <v>783</v>
      </c>
      <c r="J399" s="337"/>
      <c r="K399" s="339"/>
      <c r="L399" s="337"/>
      <c r="M399" s="339"/>
      <c r="N399" s="337"/>
      <c r="O399" s="339"/>
      <c r="Q399" s="1"/>
      <c r="R399" s="1"/>
      <c r="S399" s="1"/>
      <c r="T399" s="1"/>
      <c r="U399" s="1"/>
      <c r="V399" s="1"/>
      <c r="W399" s="1"/>
      <c r="X399" s="1"/>
      <c r="Y399" s="1"/>
    </row>
    <row r="400" spans="2:25" s="8" customFormat="1" ht="18.75" hidden="1">
      <c r="B400" s="337"/>
      <c r="C400" s="338"/>
      <c r="D400" s="338"/>
      <c r="E400" s="338"/>
      <c r="F400" s="338"/>
      <c r="G400" s="338"/>
      <c r="H400" s="339"/>
      <c r="I400" s="441">
        <v>9000</v>
      </c>
      <c r="J400" s="337"/>
      <c r="K400" s="339"/>
      <c r="L400" s="337"/>
      <c r="M400" s="339"/>
      <c r="N400" s="337"/>
      <c r="O400" s="339"/>
      <c r="Q400" s="1"/>
      <c r="R400" s="1"/>
      <c r="S400" s="1"/>
      <c r="T400" s="1"/>
      <c r="U400" s="1"/>
      <c r="V400" s="1"/>
      <c r="W400" s="1"/>
      <c r="X400" s="1"/>
      <c r="Y400" s="1"/>
    </row>
    <row r="401" ht="18.75" hidden="1"/>
    <row r="402" spans="2:25" s="8" customFormat="1" ht="18.75" hidden="1">
      <c r="B402" s="278" t="s">
        <v>784</v>
      </c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Q402" s="1"/>
      <c r="R402" s="1"/>
      <c r="S402" s="1"/>
      <c r="T402" s="1"/>
      <c r="U402" s="1"/>
      <c r="V402" s="1"/>
      <c r="W402" s="1"/>
      <c r="X402" s="1"/>
      <c r="Y402" s="1"/>
    </row>
    <row r="403" spans="2:25" s="8" customFormat="1" ht="18.75" hidden="1">
      <c r="B403" s="278" t="s">
        <v>755</v>
      </c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Q403" s="1"/>
      <c r="R403" s="1"/>
      <c r="S403" s="1"/>
      <c r="T403" s="1"/>
      <c r="U403" s="1"/>
      <c r="V403" s="1"/>
      <c r="W403" s="1"/>
      <c r="X403" s="1"/>
      <c r="Y403" s="1"/>
    </row>
    <row r="404" ht="18.75" hidden="1"/>
    <row r="405" spans="2:25" s="8" customFormat="1" ht="18.75" hidden="1">
      <c r="B405" s="8" t="s">
        <v>785</v>
      </c>
      <c r="D405" s="278" t="s">
        <v>786</v>
      </c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Q405" s="1"/>
      <c r="R405" s="1"/>
      <c r="S405" s="1"/>
      <c r="T405" s="1"/>
      <c r="U405" s="1"/>
      <c r="V405" s="1"/>
      <c r="W405" s="1"/>
      <c r="X405" s="1"/>
      <c r="Y405" s="1"/>
    </row>
    <row r="406" spans="2:25" s="8" customFormat="1" ht="18.75" hidden="1">
      <c r="B406" s="8" t="s">
        <v>787</v>
      </c>
      <c r="C406" s="40"/>
      <c r="D406" s="325" t="s">
        <v>788</v>
      </c>
      <c r="E406" s="325"/>
      <c r="F406" s="325"/>
      <c r="G406" s="325"/>
      <c r="H406" s="325"/>
      <c r="I406" s="325"/>
      <c r="J406" s="325"/>
      <c r="K406" s="325"/>
      <c r="L406" s="325"/>
      <c r="M406" s="325"/>
      <c r="N406" s="325"/>
      <c r="Q406" s="1"/>
      <c r="R406" s="1"/>
      <c r="S406" s="1"/>
      <c r="T406" s="1"/>
      <c r="U406" s="1"/>
      <c r="V406" s="1"/>
      <c r="W406" s="1"/>
      <c r="X406" s="1"/>
      <c r="Y406" s="1"/>
    </row>
    <row r="407" ht="18.75" hidden="1"/>
    <row r="408" spans="2:25" s="8" customFormat="1" ht="18.75" hidden="1">
      <c r="B408" s="8" t="s">
        <v>789</v>
      </c>
      <c r="Q408" s="1"/>
      <c r="R408" s="1"/>
      <c r="S408" s="1"/>
      <c r="T408" s="1"/>
      <c r="U408" s="1"/>
      <c r="V408" s="1"/>
      <c r="W408" s="1"/>
      <c r="X408" s="1"/>
      <c r="Y408" s="1"/>
    </row>
    <row r="409" spans="2:25" s="8" customFormat="1" ht="18.75" hidden="1">
      <c r="B409" s="8" t="s">
        <v>756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Q409" s="1"/>
      <c r="R409" s="1"/>
      <c r="S409" s="1"/>
      <c r="T409" s="1"/>
      <c r="U409" s="1"/>
      <c r="V409" s="1"/>
      <c r="W409" s="1"/>
      <c r="X409" s="1"/>
      <c r="Y409" s="1"/>
    </row>
    <row r="410" spans="2:25" s="8" customFormat="1" ht="18.75" hidden="1">
      <c r="B410" s="8" t="s">
        <v>582</v>
      </c>
      <c r="Q410" s="1"/>
      <c r="R410" s="1"/>
      <c r="S410" s="1"/>
      <c r="T410" s="1"/>
      <c r="U410" s="1"/>
      <c r="V410" s="1"/>
      <c r="W410" s="1"/>
      <c r="X410" s="1"/>
      <c r="Y410" s="1"/>
    </row>
    <row r="411" ht="18.75" hidden="1"/>
    <row r="412" spans="2:25" s="8" customFormat="1" ht="18.75" hidden="1">
      <c r="B412" s="8" t="s">
        <v>790</v>
      </c>
      <c r="Q412" s="1"/>
      <c r="R412" s="1"/>
      <c r="S412" s="1"/>
      <c r="T412" s="1"/>
      <c r="U412" s="1"/>
      <c r="V412" s="1"/>
      <c r="W412" s="1"/>
      <c r="X412" s="1"/>
      <c r="Y412" s="1"/>
    </row>
    <row r="413" ht="18.75" hidden="1"/>
    <row r="414" spans="2:25" s="8" customFormat="1" ht="18.75" hidden="1">
      <c r="B414" s="308" t="s">
        <v>0</v>
      </c>
      <c r="C414" s="309"/>
      <c r="D414" s="309"/>
      <c r="E414" s="309"/>
      <c r="F414" s="309"/>
      <c r="G414" s="309"/>
      <c r="H414" s="310"/>
      <c r="I414" s="434" t="s">
        <v>1</v>
      </c>
      <c r="J414" s="337" t="s">
        <v>791</v>
      </c>
      <c r="K414" s="338"/>
      <c r="L414" s="338"/>
      <c r="M414" s="338"/>
      <c r="N414" s="338"/>
      <c r="O414" s="339"/>
      <c r="Q414" s="1"/>
      <c r="R414" s="1"/>
      <c r="S414" s="1"/>
      <c r="T414" s="1"/>
      <c r="U414" s="1"/>
      <c r="V414" s="1"/>
      <c r="W414" s="1"/>
      <c r="X414" s="1"/>
      <c r="Y414" s="1"/>
    </row>
    <row r="415" spans="2:25" s="8" customFormat="1" ht="18.75" hidden="1">
      <c r="B415" s="349"/>
      <c r="C415" s="350"/>
      <c r="D415" s="350"/>
      <c r="E415" s="350"/>
      <c r="F415" s="350"/>
      <c r="G415" s="350"/>
      <c r="H415" s="351"/>
      <c r="I415" s="438"/>
      <c r="J415" s="337" t="s">
        <v>696</v>
      </c>
      <c r="K415" s="339"/>
      <c r="L415" s="337" t="s">
        <v>697</v>
      </c>
      <c r="M415" s="339"/>
      <c r="N415" s="337" t="s">
        <v>698</v>
      </c>
      <c r="O415" s="339"/>
      <c r="Q415" s="1"/>
      <c r="R415" s="1"/>
      <c r="S415" s="1"/>
      <c r="T415" s="1"/>
      <c r="U415" s="1"/>
      <c r="V415" s="1"/>
      <c r="W415" s="1"/>
      <c r="X415" s="1"/>
      <c r="Y415" s="1"/>
    </row>
    <row r="416" spans="2:25" s="8" customFormat="1" ht="18.75" hidden="1">
      <c r="B416" s="337">
        <v>1</v>
      </c>
      <c r="C416" s="338"/>
      <c r="D416" s="338"/>
      <c r="E416" s="338"/>
      <c r="F416" s="338"/>
      <c r="G416" s="338"/>
      <c r="H416" s="339"/>
      <c r="I416" s="22">
        <v>2</v>
      </c>
      <c r="J416" s="337">
        <v>3</v>
      </c>
      <c r="K416" s="339"/>
      <c r="L416" s="337">
        <v>4</v>
      </c>
      <c r="M416" s="339"/>
      <c r="N416" s="337">
        <v>5</v>
      </c>
      <c r="O416" s="339"/>
      <c r="Q416" s="1"/>
      <c r="R416" s="1"/>
      <c r="S416" s="1"/>
      <c r="T416" s="1"/>
      <c r="U416" s="1"/>
      <c r="V416" s="1"/>
      <c r="W416" s="1"/>
      <c r="X416" s="1"/>
      <c r="Y416" s="1"/>
    </row>
    <row r="417" spans="2:25" s="8" customFormat="1" ht="18.75" hidden="1">
      <c r="B417" s="341" t="s">
        <v>792</v>
      </c>
      <c r="C417" s="342"/>
      <c r="D417" s="342"/>
      <c r="E417" s="342"/>
      <c r="F417" s="342"/>
      <c r="G417" s="342"/>
      <c r="H417" s="343"/>
      <c r="I417" s="19" t="s">
        <v>700</v>
      </c>
      <c r="J417" s="396">
        <f>J433</f>
        <v>715304.55</v>
      </c>
      <c r="K417" s="397"/>
      <c r="L417" s="337"/>
      <c r="M417" s="339"/>
      <c r="N417" s="337"/>
      <c r="O417" s="339"/>
      <c r="Q417" s="1"/>
      <c r="R417" s="1"/>
      <c r="S417" s="1"/>
      <c r="T417" s="1"/>
      <c r="U417" s="1"/>
      <c r="V417" s="1"/>
      <c r="W417" s="1"/>
      <c r="X417" s="1"/>
      <c r="Y417" s="1"/>
    </row>
    <row r="418" ht="18.75" hidden="1"/>
    <row r="419" ht="18.75" hidden="1"/>
    <row r="420" spans="2:25" s="8" customFormat="1" ht="18.75" hidden="1">
      <c r="B420" s="8" t="s">
        <v>793</v>
      </c>
      <c r="Q420" s="1"/>
      <c r="R420" s="1"/>
      <c r="S420" s="1"/>
      <c r="T420" s="1"/>
      <c r="U420" s="1"/>
      <c r="V420" s="1"/>
      <c r="W420" s="1"/>
      <c r="X420" s="1"/>
      <c r="Y420" s="1"/>
    </row>
    <row r="421" ht="18.75" hidden="1"/>
    <row r="422" spans="2:25" s="8" customFormat="1" ht="18.75" hidden="1">
      <c r="B422" s="308" t="s">
        <v>0</v>
      </c>
      <c r="C422" s="309"/>
      <c r="D422" s="309"/>
      <c r="E422" s="309"/>
      <c r="F422" s="309"/>
      <c r="G422" s="309"/>
      <c r="H422" s="310"/>
      <c r="I422" s="434" t="s">
        <v>1</v>
      </c>
      <c r="J422" s="337" t="s">
        <v>791</v>
      </c>
      <c r="K422" s="338"/>
      <c r="L422" s="338"/>
      <c r="M422" s="338"/>
      <c r="N422" s="338"/>
      <c r="O422" s="339"/>
      <c r="Q422" s="1"/>
      <c r="R422" s="1"/>
      <c r="S422" s="1"/>
      <c r="T422" s="1"/>
      <c r="U422" s="1"/>
      <c r="V422" s="1"/>
      <c r="W422" s="1"/>
      <c r="X422" s="1"/>
      <c r="Y422" s="1"/>
    </row>
    <row r="423" spans="2:25" s="8" customFormat="1" ht="18.75" hidden="1">
      <c r="B423" s="349"/>
      <c r="C423" s="350"/>
      <c r="D423" s="350"/>
      <c r="E423" s="350"/>
      <c r="F423" s="350"/>
      <c r="G423" s="350"/>
      <c r="H423" s="351"/>
      <c r="I423" s="438"/>
      <c r="J423" s="337" t="s">
        <v>696</v>
      </c>
      <c r="K423" s="339"/>
      <c r="L423" s="337" t="s">
        <v>697</v>
      </c>
      <c r="M423" s="339"/>
      <c r="N423" s="337" t="s">
        <v>698</v>
      </c>
      <c r="O423" s="339"/>
      <c r="Q423" s="1"/>
      <c r="R423" s="1"/>
      <c r="S423" s="1"/>
      <c r="T423" s="1"/>
      <c r="U423" s="1"/>
      <c r="V423" s="1"/>
      <c r="W423" s="1"/>
      <c r="X423" s="1"/>
      <c r="Y423" s="1"/>
    </row>
    <row r="424" spans="2:25" s="8" customFormat="1" ht="18.75" hidden="1">
      <c r="B424" s="337">
        <v>1</v>
      </c>
      <c r="C424" s="338"/>
      <c r="D424" s="338"/>
      <c r="E424" s="338"/>
      <c r="F424" s="338"/>
      <c r="G424" s="338"/>
      <c r="H424" s="339"/>
      <c r="I424" s="22">
        <v>2</v>
      </c>
      <c r="J424" s="337">
        <v>3</v>
      </c>
      <c r="K424" s="339"/>
      <c r="L424" s="337">
        <v>4</v>
      </c>
      <c r="M424" s="339"/>
      <c r="N424" s="337">
        <v>5</v>
      </c>
      <c r="O424" s="339"/>
      <c r="Q424" s="1"/>
      <c r="R424" s="1"/>
      <c r="S424" s="1"/>
      <c r="T424" s="1"/>
      <c r="U424" s="1"/>
      <c r="V424" s="1"/>
      <c r="W424" s="1"/>
      <c r="X424" s="1"/>
      <c r="Y424" s="1"/>
    </row>
    <row r="425" spans="2:25" s="8" customFormat="1" ht="36.75" customHeight="1" hidden="1">
      <c r="B425" s="282" t="s">
        <v>794</v>
      </c>
      <c r="C425" s="282"/>
      <c r="D425" s="282"/>
      <c r="E425" s="282"/>
      <c r="F425" s="282"/>
      <c r="G425" s="282"/>
      <c r="H425" s="282"/>
      <c r="I425" s="19" t="s">
        <v>700</v>
      </c>
      <c r="J425" s="348"/>
      <c r="K425" s="348"/>
      <c r="L425" s="348"/>
      <c r="M425" s="348"/>
      <c r="N425" s="348"/>
      <c r="O425" s="348"/>
      <c r="Q425" s="1"/>
      <c r="R425" s="1"/>
      <c r="S425" s="1"/>
      <c r="T425" s="1"/>
      <c r="U425" s="1"/>
      <c r="V425" s="1"/>
      <c r="W425" s="1"/>
      <c r="X425" s="1"/>
      <c r="Y425" s="1"/>
    </row>
    <row r="426" spans="2:25" s="8" customFormat="1" ht="18.75" hidden="1">
      <c r="B426" s="301"/>
      <c r="C426" s="302"/>
      <c r="D426" s="302"/>
      <c r="E426" s="302"/>
      <c r="F426" s="302"/>
      <c r="G426" s="302"/>
      <c r="H426" s="303"/>
      <c r="I426" s="19" t="s">
        <v>721</v>
      </c>
      <c r="J426" s="337"/>
      <c r="K426" s="339"/>
      <c r="L426" s="337"/>
      <c r="M426" s="339"/>
      <c r="N426" s="348"/>
      <c r="O426" s="348"/>
      <c r="Q426" s="1"/>
      <c r="R426" s="1"/>
      <c r="S426" s="1"/>
      <c r="T426" s="1"/>
      <c r="U426" s="1"/>
      <c r="V426" s="1"/>
      <c r="W426" s="1"/>
      <c r="X426" s="1"/>
      <c r="Y426" s="1"/>
    </row>
    <row r="427" spans="2:25" s="8" customFormat="1" ht="18.75" hidden="1">
      <c r="B427" s="301" t="s">
        <v>795</v>
      </c>
      <c r="C427" s="302"/>
      <c r="D427" s="302"/>
      <c r="E427" s="302"/>
      <c r="F427" s="302"/>
      <c r="G427" s="302"/>
      <c r="H427" s="303"/>
      <c r="I427" s="19" t="s">
        <v>702</v>
      </c>
      <c r="J427" s="337"/>
      <c r="K427" s="339"/>
      <c r="L427" s="337"/>
      <c r="M427" s="339"/>
      <c r="N427" s="348"/>
      <c r="O427" s="348"/>
      <c r="Q427" s="1"/>
      <c r="R427" s="1"/>
      <c r="S427" s="1"/>
      <c r="T427" s="1"/>
      <c r="U427" s="1"/>
      <c r="V427" s="1"/>
      <c r="W427" s="1"/>
      <c r="X427" s="1"/>
      <c r="Y427" s="1"/>
    </row>
    <row r="428" spans="2:25" s="8" customFormat="1" ht="18.75" hidden="1">
      <c r="B428" s="301"/>
      <c r="C428" s="302"/>
      <c r="D428" s="302"/>
      <c r="E428" s="302"/>
      <c r="F428" s="302"/>
      <c r="G428" s="302"/>
      <c r="H428" s="303"/>
      <c r="I428" s="19" t="s">
        <v>728</v>
      </c>
      <c r="J428" s="337"/>
      <c r="K428" s="339"/>
      <c r="L428" s="337"/>
      <c r="M428" s="339"/>
      <c r="N428" s="348"/>
      <c r="O428" s="348"/>
      <c r="Q428" s="1"/>
      <c r="R428" s="1"/>
      <c r="S428" s="1"/>
      <c r="T428" s="1"/>
      <c r="U428" s="1"/>
      <c r="V428" s="1"/>
      <c r="W428" s="1"/>
      <c r="X428" s="1"/>
      <c r="Y428" s="1"/>
    </row>
    <row r="429" spans="2:25" s="8" customFormat="1" ht="36.75" customHeight="1" hidden="1">
      <c r="B429" s="301" t="s">
        <v>796</v>
      </c>
      <c r="C429" s="302"/>
      <c r="D429" s="302"/>
      <c r="E429" s="302"/>
      <c r="F429" s="302"/>
      <c r="G429" s="302"/>
      <c r="H429" s="303"/>
      <c r="I429" s="19" t="s">
        <v>704</v>
      </c>
      <c r="J429" s="337"/>
      <c r="K429" s="339"/>
      <c r="L429" s="337"/>
      <c r="M429" s="339"/>
      <c r="N429" s="348"/>
      <c r="O429" s="348"/>
      <c r="Q429" s="1"/>
      <c r="R429" s="1"/>
      <c r="S429" s="1"/>
      <c r="T429" s="1"/>
      <c r="U429" s="1"/>
      <c r="V429" s="1"/>
      <c r="W429" s="1"/>
      <c r="X429" s="1"/>
      <c r="Y429" s="1"/>
    </row>
    <row r="430" spans="2:25" s="8" customFormat="1" ht="18.75" hidden="1">
      <c r="B430" s="301"/>
      <c r="C430" s="302"/>
      <c r="D430" s="302"/>
      <c r="E430" s="302"/>
      <c r="F430" s="302"/>
      <c r="G430" s="302"/>
      <c r="H430" s="303"/>
      <c r="I430" s="19" t="s">
        <v>797</v>
      </c>
      <c r="J430" s="337"/>
      <c r="K430" s="339"/>
      <c r="L430" s="337"/>
      <c r="M430" s="339"/>
      <c r="N430" s="348"/>
      <c r="O430" s="348"/>
      <c r="Q430" s="1"/>
      <c r="R430" s="1"/>
      <c r="S430" s="1"/>
      <c r="T430" s="1"/>
      <c r="U430" s="1"/>
      <c r="V430" s="1"/>
      <c r="W430" s="1"/>
      <c r="X430" s="1"/>
      <c r="Y430" s="1"/>
    </row>
    <row r="431" spans="2:25" s="8" customFormat="1" ht="73.5" customHeight="1" hidden="1">
      <c r="B431" s="301" t="s">
        <v>798</v>
      </c>
      <c r="C431" s="302"/>
      <c r="D431" s="302"/>
      <c r="E431" s="302"/>
      <c r="F431" s="302"/>
      <c r="G431" s="302"/>
      <c r="H431" s="303"/>
      <c r="I431" s="19" t="s">
        <v>710</v>
      </c>
      <c r="J431" s="337"/>
      <c r="K431" s="339"/>
      <c r="L431" s="337"/>
      <c r="M431" s="339"/>
      <c r="N431" s="348"/>
      <c r="O431" s="348"/>
      <c r="Q431" s="1"/>
      <c r="R431" s="1"/>
      <c r="S431" s="1"/>
      <c r="T431" s="1"/>
      <c r="U431" s="1"/>
      <c r="V431" s="1"/>
      <c r="W431" s="1"/>
      <c r="X431" s="1"/>
      <c r="Y431" s="1"/>
    </row>
    <row r="432" spans="2:25" s="8" customFormat="1" ht="18.75" hidden="1">
      <c r="B432" s="301"/>
      <c r="C432" s="302"/>
      <c r="D432" s="302"/>
      <c r="E432" s="302"/>
      <c r="F432" s="302"/>
      <c r="G432" s="302"/>
      <c r="H432" s="303"/>
      <c r="I432" s="19" t="s">
        <v>799</v>
      </c>
      <c r="J432" s="337"/>
      <c r="K432" s="339"/>
      <c r="L432" s="337"/>
      <c r="M432" s="339"/>
      <c r="N432" s="348"/>
      <c r="O432" s="348"/>
      <c r="Q432" s="1"/>
      <c r="R432" s="1"/>
      <c r="S432" s="1"/>
      <c r="T432" s="1"/>
      <c r="U432" s="1"/>
      <c r="V432" s="1"/>
      <c r="W432" s="1"/>
      <c r="X432" s="1"/>
      <c r="Y432" s="1"/>
    </row>
    <row r="433" spans="2:25" s="8" customFormat="1" ht="34.5" customHeight="1" hidden="1">
      <c r="B433" s="301" t="s">
        <v>800</v>
      </c>
      <c r="C433" s="302"/>
      <c r="D433" s="302"/>
      <c r="E433" s="302"/>
      <c r="F433" s="302"/>
      <c r="G433" s="302"/>
      <c r="H433" s="303"/>
      <c r="I433" s="19" t="s">
        <v>712</v>
      </c>
      <c r="J433" s="396">
        <f>J434</f>
        <v>715304.55</v>
      </c>
      <c r="K433" s="339"/>
      <c r="L433" s="337"/>
      <c r="M433" s="339"/>
      <c r="N433" s="348"/>
      <c r="O433" s="348"/>
      <c r="Q433" s="1"/>
      <c r="R433" s="1"/>
      <c r="S433" s="1"/>
      <c r="T433" s="1"/>
      <c r="U433" s="1"/>
      <c r="V433" s="1"/>
      <c r="W433" s="1"/>
      <c r="X433" s="1"/>
      <c r="Y433" s="1"/>
    </row>
    <row r="434" spans="2:25" s="8" customFormat="1" ht="18.75" hidden="1">
      <c r="B434" s="301"/>
      <c r="C434" s="302"/>
      <c r="D434" s="302"/>
      <c r="E434" s="302"/>
      <c r="F434" s="302"/>
      <c r="G434" s="302"/>
      <c r="H434" s="303"/>
      <c r="I434" s="19" t="s">
        <v>801</v>
      </c>
      <c r="J434" s="396">
        <f>K90+L90+N90</f>
        <v>715304.55</v>
      </c>
      <c r="K434" s="339"/>
      <c r="L434" s="337"/>
      <c r="M434" s="339"/>
      <c r="N434" s="348"/>
      <c r="O434" s="348"/>
      <c r="Q434" s="1"/>
      <c r="R434" s="1"/>
      <c r="S434" s="1"/>
      <c r="T434" s="1"/>
      <c r="U434" s="1"/>
      <c r="V434" s="1"/>
      <c r="W434" s="1"/>
      <c r="X434" s="1"/>
      <c r="Y434" s="1"/>
    </row>
    <row r="435" spans="2:25" s="8" customFormat="1" ht="60" customHeight="1" hidden="1">
      <c r="B435" s="301" t="s">
        <v>802</v>
      </c>
      <c r="C435" s="302"/>
      <c r="D435" s="302"/>
      <c r="E435" s="302"/>
      <c r="F435" s="302"/>
      <c r="G435" s="302"/>
      <c r="H435" s="303"/>
      <c r="I435" s="19" t="s">
        <v>714</v>
      </c>
      <c r="J435" s="337"/>
      <c r="K435" s="339"/>
      <c r="L435" s="337"/>
      <c r="M435" s="339"/>
      <c r="N435" s="348"/>
      <c r="O435" s="348"/>
      <c r="Q435" s="1"/>
      <c r="R435" s="1"/>
      <c r="S435" s="1"/>
      <c r="T435" s="1"/>
      <c r="U435" s="1"/>
      <c r="V435" s="1"/>
      <c r="W435" s="1"/>
      <c r="X435" s="1"/>
      <c r="Y435" s="1"/>
    </row>
    <row r="436" spans="2:25" s="8" customFormat="1" ht="18.75" hidden="1">
      <c r="B436" s="301"/>
      <c r="C436" s="302"/>
      <c r="D436" s="302"/>
      <c r="E436" s="302"/>
      <c r="F436" s="302"/>
      <c r="G436" s="302"/>
      <c r="H436" s="303"/>
      <c r="I436" s="19" t="s">
        <v>803</v>
      </c>
      <c r="J436" s="337"/>
      <c r="K436" s="339"/>
      <c r="L436" s="337"/>
      <c r="M436" s="339"/>
      <c r="N436" s="348"/>
      <c r="O436" s="348"/>
      <c r="Q436" s="1"/>
      <c r="R436" s="1"/>
      <c r="S436" s="1"/>
      <c r="T436" s="1"/>
      <c r="U436" s="1"/>
      <c r="V436" s="1"/>
      <c r="W436" s="1"/>
      <c r="X436" s="1"/>
      <c r="Y436" s="1"/>
    </row>
    <row r="437" spans="2:25" s="8" customFormat="1" ht="56.25" customHeight="1" hidden="1">
      <c r="B437" s="301" t="s">
        <v>804</v>
      </c>
      <c r="C437" s="302"/>
      <c r="D437" s="302"/>
      <c r="E437" s="302"/>
      <c r="F437" s="302"/>
      <c r="G437" s="302"/>
      <c r="H437" s="303"/>
      <c r="I437" s="19" t="s">
        <v>805</v>
      </c>
      <c r="J437" s="337"/>
      <c r="K437" s="339"/>
      <c r="L437" s="337"/>
      <c r="M437" s="339"/>
      <c r="N437" s="348"/>
      <c r="O437" s="348"/>
      <c r="Q437" s="1"/>
      <c r="R437" s="1"/>
      <c r="S437" s="1"/>
      <c r="T437" s="1"/>
      <c r="U437" s="1"/>
      <c r="V437" s="1"/>
      <c r="W437" s="1"/>
      <c r="X437" s="1"/>
      <c r="Y437" s="1"/>
    </row>
    <row r="438" spans="2:25" s="8" customFormat="1" ht="18.75" hidden="1">
      <c r="B438" s="301"/>
      <c r="C438" s="302"/>
      <c r="D438" s="302"/>
      <c r="E438" s="302"/>
      <c r="F438" s="302"/>
      <c r="G438" s="302"/>
      <c r="H438" s="303"/>
      <c r="I438" s="19" t="s">
        <v>806</v>
      </c>
      <c r="J438" s="337"/>
      <c r="K438" s="339"/>
      <c r="L438" s="337"/>
      <c r="M438" s="339"/>
      <c r="N438" s="348"/>
      <c r="O438" s="348"/>
      <c r="Q438" s="1"/>
      <c r="R438" s="1"/>
      <c r="S438" s="1"/>
      <c r="T438" s="1"/>
      <c r="U438" s="1"/>
      <c r="V438" s="1"/>
      <c r="W438" s="1"/>
      <c r="X438" s="1"/>
      <c r="Y438" s="1"/>
    </row>
    <row r="439" spans="2:25" s="8" customFormat="1" ht="18.75" hidden="1">
      <c r="B439" s="301" t="s">
        <v>807</v>
      </c>
      <c r="C439" s="302"/>
      <c r="D439" s="302"/>
      <c r="E439" s="302"/>
      <c r="F439" s="302"/>
      <c r="G439" s="302"/>
      <c r="H439" s="303"/>
      <c r="I439" s="19" t="s">
        <v>808</v>
      </c>
      <c r="J439" s="337"/>
      <c r="K439" s="339"/>
      <c r="L439" s="337"/>
      <c r="M439" s="339"/>
      <c r="N439" s="348"/>
      <c r="O439" s="348"/>
      <c r="Q439" s="1"/>
      <c r="R439" s="1"/>
      <c r="S439" s="1"/>
      <c r="T439" s="1"/>
      <c r="U439" s="1"/>
      <c r="V439" s="1"/>
      <c r="W439" s="1"/>
      <c r="X439" s="1"/>
      <c r="Y439" s="1"/>
    </row>
    <row r="440" spans="2:25" s="8" customFormat="1" ht="18.75" hidden="1">
      <c r="B440" s="301"/>
      <c r="C440" s="302"/>
      <c r="D440" s="302"/>
      <c r="E440" s="302"/>
      <c r="F440" s="302"/>
      <c r="G440" s="302"/>
      <c r="H440" s="303"/>
      <c r="I440" s="19" t="s">
        <v>809</v>
      </c>
      <c r="J440" s="337"/>
      <c r="K440" s="339"/>
      <c r="L440" s="337"/>
      <c r="M440" s="339"/>
      <c r="N440" s="348"/>
      <c r="O440" s="348"/>
      <c r="Q440" s="1"/>
      <c r="R440" s="1"/>
      <c r="S440" s="1"/>
      <c r="T440" s="1"/>
      <c r="U440" s="1"/>
      <c r="V440" s="1"/>
      <c r="W440" s="1"/>
      <c r="X440" s="1"/>
      <c r="Y440" s="1"/>
    </row>
    <row r="441" spans="2:25" s="8" customFormat="1" ht="18.75" hidden="1">
      <c r="B441" s="301" t="s">
        <v>130</v>
      </c>
      <c r="C441" s="302"/>
      <c r="D441" s="302"/>
      <c r="E441" s="302"/>
      <c r="F441" s="302"/>
      <c r="G441" s="302"/>
      <c r="H441" s="303"/>
      <c r="I441" s="19" t="s">
        <v>729</v>
      </c>
      <c r="J441" s="337"/>
      <c r="K441" s="339"/>
      <c r="L441" s="337"/>
      <c r="M441" s="339"/>
      <c r="N441" s="348"/>
      <c r="O441" s="348"/>
      <c r="Q441" s="1"/>
      <c r="R441" s="1"/>
      <c r="S441" s="1"/>
      <c r="T441" s="1"/>
      <c r="U441" s="1"/>
      <c r="V441" s="1"/>
      <c r="W441" s="1"/>
      <c r="X441" s="1"/>
      <c r="Y441" s="1"/>
    </row>
    <row r="442" ht="18.75" hidden="1"/>
    <row r="443" ht="18.75" hidden="1"/>
    <row r="444" ht="18.75" hidden="1"/>
    <row r="445" spans="2:25" s="8" customFormat="1" ht="18.75" hidden="1">
      <c r="B445" s="8" t="s">
        <v>677</v>
      </c>
      <c r="Q445" s="1"/>
      <c r="R445" s="1"/>
      <c r="S445" s="1"/>
      <c r="T445" s="1"/>
      <c r="U445" s="1"/>
      <c r="V445" s="1"/>
      <c r="W445" s="1"/>
      <c r="X445" s="1"/>
      <c r="Y445" s="1"/>
    </row>
    <row r="446" spans="2:25" s="8" customFormat="1" ht="19.5" customHeight="1" hidden="1">
      <c r="B446" s="8" t="s">
        <v>678</v>
      </c>
      <c r="F446" s="325" t="s">
        <v>679</v>
      </c>
      <c r="G446" s="325"/>
      <c r="H446" s="325"/>
      <c r="J446" s="40"/>
      <c r="K446" s="40"/>
      <c r="M446" s="325" t="s">
        <v>280</v>
      </c>
      <c r="N446" s="325"/>
      <c r="O446" s="325"/>
      <c r="Q446" s="1"/>
      <c r="R446" s="1"/>
      <c r="S446" s="1"/>
      <c r="T446" s="1"/>
      <c r="U446" s="1"/>
      <c r="V446" s="1"/>
      <c r="W446" s="1"/>
      <c r="X446" s="1"/>
      <c r="Y446" s="1"/>
    </row>
    <row r="447" spans="6:25" s="8" customFormat="1" ht="18.75" hidden="1">
      <c r="F447" s="366" t="s">
        <v>680</v>
      </c>
      <c r="G447" s="366"/>
      <c r="H447" s="366"/>
      <c r="J447" s="367" t="s">
        <v>3</v>
      </c>
      <c r="K447" s="367"/>
      <c r="M447" s="367" t="s">
        <v>144</v>
      </c>
      <c r="N447" s="367"/>
      <c r="O447" s="367"/>
      <c r="Q447" s="1"/>
      <c r="R447" s="1"/>
      <c r="S447" s="1"/>
      <c r="T447" s="1"/>
      <c r="U447" s="1"/>
      <c r="V447" s="1"/>
      <c r="W447" s="1"/>
      <c r="X447" s="1"/>
      <c r="Y447" s="1"/>
    </row>
    <row r="448" spans="14:25" s="8" customFormat="1" ht="18.75" hidden="1">
      <c r="N448" s="25"/>
      <c r="Q448" s="1"/>
      <c r="R448" s="1"/>
      <c r="S448" s="1"/>
      <c r="T448" s="1"/>
      <c r="U448" s="1"/>
      <c r="V448" s="1"/>
      <c r="W448" s="1"/>
      <c r="X448" s="1"/>
      <c r="Y448" s="1"/>
    </row>
    <row r="449" spans="2:15" ht="18.75" hidden="1">
      <c r="B449" s="8" t="s">
        <v>681</v>
      </c>
      <c r="D449" s="325" t="s">
        <v>682</v>
      </c>
      <c r="E449" s="325"/>
      <c r="F449" s="325"/>
      <c r="G449" s="325"/>
      <c r="I449" s="325" t="s">
        <v>683</v>
      </c>
      <c r="J449" s="325"/>
      <c r="K449" s="325"/>
      <c r="L449" s="325"/>
      <c r="N449" s="368" t="s">
        <v>684</v>
      </c>
      <c r="O449" s="368"/>
    </row>
    <row r="450" spans="5:15" ht="18.75" hidden="1">
      <c r="E450" s="369" t="s">
        <v>680</v>
      </c>
      <c r="F450" s="369"/>
      <c r="G450" s="369"/>
      <c r="I450" s="367" t="s">
        <v>685</v>
      </c>
      <c r="J450" s="367"/>
      <c r="K450" s="367"/>
      <c r="L450" s="367"/>
      <c r="N450" s="370" t="s">
        <v>686</v>
      </c>
      <c r="O450" s="370"/>
    </row>
    <row r="451" ht="18.75" hidden="1">
      <c r="N451" s="25"/>
    </row>
    <row r="452" spans="2:14" ht="18.75" hidden="1">
      <c r="B452" s="1"/>
      <c r="C452" s="277" t="str">
        <f>L14</f>
        <v>"01" ноября  2021 года</v>
      </c>
      <c r="D452" s="278"/>
      <c r="E452" s="278"/>
      <c r="F452" s="278"/>
      <c r="G452" s="278"/>
      <c r="H452" s="278"/>
      <c r="I452" s="278"/>
      <c r="N452" s="25"/>
    </row>
    <row r="453" spans="1:15" ht="18.75" hidden="1">
      <c r="A453" s="35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18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6" ht="18.75">
      <c r="A455" s="144"/>
      <c r="B455" s="279" t="s">
        <v>281</v>
      </c>
      <c r="C455" s="279"/>
      <c r="D455" s="279"/>
      <c r="E455" s="279"/>
      <c r="F455" s="279"/>
      <c r="G455" s="279"/>
      <c r="H455" s="279"/>
      <c r="I455" s="279"/>
      <c r="J455" s="279"/>
      <c r="K455" s="197"/>
      <c r="L455" s="197"/>
      <c r="M455" s="144"/>
      <c r="N455" s="144"/>
      <c r="O455" s="154"/>
      <c r="P455" s="42"/>
    </row>
    <row r="456" spans="1:16" ht="18.75">
      <c r="A456" s="144"/>
      <c r="B456" s="279"/>
      <c r="C456" s="279"/>
      <c r="D456" s="279"/>
      <c r="E456" s="279"/>
      <c r="F456" s="279"/>
      <c r="G456" s="279"/>
      <c r="H456" s="279"/>
      <c r="I456" s="279"/>
      <c r="J456" s="279"/>
      <c r="K456" s="197"/>
      <c r="L456" s="197"/>
      <c r="M456" s="144"/>
      <c r="N456" s="144"/>
      <c r="O456" s="154"/>
      <c r="P456" s="42"/>
    </row>
    <row r="457" spans="1:16" ht="18.75">
      <c r="A457" s="144"/>
      <c r="B457" s="279"/>
      <c r="C457" s="279"/>
      <c r="D457" s="279"/>
      <c r="E457" s="279"/>
      <c r="F457" s="279"/>
      <c r="G457" s="279"/>
      <c r="H457" s="279"/>
      <c r="I457" s="279"/>
      <c r="J457" s="279"/>
      <c r="K457" s="197"/>
      <c r="L457" s="197"/>
      <c r="M457" s="144"/>
      <c r="N457" s="144"/>
      <c r="O457" s="154"/>
      <c r="P457" s="42"/>
    </row>
    <row r="458" spans="1:16" ht="18.75">
      <c r="A458" s="144"/>
      <c r="B458" s="197"/>
      <c r="C458" s="197"/>
      <c r="D458" s="197"/>
      <c r="E458" s="197"/>
      <c r="F458" s="197"/>
      <c r="G458" s="197"/>
      <c r="H458" s="197"/>
      <c r="I458" s="197"/>
      <c r="J458" s="197"/>
      <c r="K458" s="197"/>
      <c r="L458" s="197"/>
      <c r="M458" s="144"/>
      <c r="N458" s="144"/>
      <c r="O458" s="154"/>
      <c r="P458" s="42"/>
    </row>
    <row r="459" spans="1:16" ht="18.75" hidden="1">
      <c r="A459" s="53"/>
      <c r="B459" s="53" t="s">
        <v>151</v>
      </c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4"/>
      <c r="P459" s="44"/>
    </row>
    <row r="460" spans="1:16" ht="18.75" hidden="1">
      <c r="A460" s="53"/>
      <c r="B460" s="53" t="s">
        <v>152</v>
      </c>
      <c r="C460" s="93"/>
      <c r="D460" s="140">
        <v>100</v>
      </c>
      <c r="E460" s="140"/>
      <c r="F460" s="140"/>
      <c r="G460" s="140"/>
      <c r="H460" s="56"/>
      <c r="I460" s="53"/>
      <c r="J460" s="53"/>
      <c r="K460" s="53"/>
      <c r="L460" s="53"/>
      <c r="M460" s="53"/>
      <c r="N460" s="53"/>
      <c r="O460" s="54"/>
      <c r="P460" s="44"/>
    </row>
    <row r="461" spans="1:16" ht="18.75" hidden="1">
      <c r="A461" s="53"/>
      <c r="B461" s="53" t="s">
        <v>153</v>
      </c>
      <c r="C461" s="53"/>
      <c r="D461" s="93"/>
      <c r="E461" s="93"/>
      <c r="F461" s="142" t="s">
        <v>154</v>
      </c>
      <c r="G461" s="142"/>
      <c r="H461" s="142"/>
      <c r="I461" s="142"/>
      <c r="J461" s="56"/>
      <c r="K461" s="53"/>
      <c r="L461" s="53"/>
      <c r="M461" s="53"/>
      <c r="N461" s="53"/>
      <c r="O461" s="54"/>
      <c r="P461" s="44"/>
    </row>
    <row r="462" spans="1:18" ht="18.75" hidden="1">
      <c r="A462" s="53"/>
      <c r="B462" s="53"/>
      <c r="C462" s="53"/>
      <c r="D462" s="56"/>
      <c r="E462" s="56"/>
      <c r="F462" s="56"/>
      <c r="G462" s="56"/>
      <c r="H462" s="56"/>
      <c r="I462" s="53"/>
      <c r="J462" s="53"/>
      <c r="K462" s="53"/>
      <c r="L462" s="53"/>
      <c r="M462" s="53"/>
      <c r="N462" s="53"/>
      <c r="O462" s="54"/>
      <c r="P462" s="44"/>
      <c r="Q462" s="16" t="s">
        <v>564</v>
      </c>
      <c r="R462" s="16"/>
    </row>
    <row r="463" spans="1:16" ht="18.75" hidden="1">
      <c r="A463" s="53"/>
      <c r="B463" s="53" t="s">
        <v>376</v>
      </c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4"/>
      <c r="P463" s="44"/>
    </row>
    <row r="464" spans="1:19" ht="18.75" hidden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4"/>
      <c r="P464" s="44"/>
      <c r="Q464" s="16" t="s">
        <v>307</v>
      </c>
      <c r="R464" s="78">
        <f>R466+R474+R481+R488+R495+R507+R515+R525+R548+R540</f>
        <v>26153045.740000002</v>
      </c>
      <c r="S464" s="80"/>
    </row>
    <row r="465" spans="1:20" ht="56.25" customHeight="1" hidden="1">
      <c r="A465" s="49" t="s">
        <v>155</v>
      </c>
      <c r="B465" s="260" t="s">
        <v>156</v>
      </c>
      <c r="C465" s="260"/>
      <c r="D465" s="260"/>
      <c r="E465" s="260"/>
      <c r="F465" s="259" t="s">
        <v>157</v>
      </c>
      <c r="G465" s="259"/>
      <c r="H465" s="61" t="s">
        <v>158</v>
      </c>
      <c r="I465" s="61" t="s">
        <v>159</v>
      </c>
      <c r="J465" s="227" t="s">
        <v>160</v>
      </c>
      <c r="K465" s="228"/>
      <c r="L465" s="53"/>
      <c r="M465" s="53"/>
      <c r="N465" s="53"/>
      <c r="O465" s="54"/>
      <c r="P465" s="44"/>
      <c r="T465" s="80"/>
    </row>
    <row r="466" spans="1:20" ht="18.75" hidden="1">
      <c r="A466" s="187">
        <v>1</v>
      </c>
      <c r="B466" s="232">
        <v>2</v>
      </c>
      <c r="C466" s="237"/>
      <c r="D466" s="237"/>
      <c r="E466" s="233"/>
      <c r="F466" s="227">
        <v>3</v>
      </c>
      <c r="G466" s="228"/>
      <c r="H466" s="191">
        <v>4</v>
      </c>
      <c r="I466" s="119">
        <v>5</v>
      </c>
      <c r="J466" s="227">
        <v>6</v>
      </c>
      <c r="K466" s="228"/>
      <c r="L466" s="193"/>
      <c r="M466" s="193"/>
      <c r="N466" s="193"/>
      <c r="O466" s="62"/>
      <c r="P466" s="45"/>
      <c r="Q466" s="16" t="s">
        <v>308</v>
      </c>
      <c r="R466" s="78">
        <f>Q467+Q468</f>
        <v>19581601.81</v>
      </c>
      <c r="T466" s="8"/>
    </row>
    <row r="467" spans="1:20" ht="18.75" hidden="1">
      <c r="A467" s="442">
        <v>1</v>
      </c>
      <c r="B467" s="443" t="s">
        <v>161</v>
      </c>
      <c r="C467" s="444"/>
      <c r="D467" s="444"/>
      <c r="E467" s="445"/>
      <c r="F467" s="203">
        <v>211</v>
      </c>
      <c r="G467" s="203"/>
      <c r="H467" s="446">
        <f>J469/I467</f>
        <v>2329399.361666667</v>
      </c>
      <c r="I467" s="447">
        <v>12</v>
      </c>
      <c r="J467" s="215">
        <f>27997872.5-100000-45080.16</f>
        <v>27852792.34</v>
      </c>
      <c r="K467" s="215"/>
      <c r="L467" s="53"/>
      <c r="M467" s="53"/>
      <c r="N467" s="53"/>
      <c r="O467" s="54"/>
      <c r="P467" s="44"/>
      <c r="Q467" s="78">
        <v>19506643.33</v>
      </c>
      <c r="R467" s="78">
        <f>J467-Q467</f>
        <v>8346149.010000002</v>
      </c>
      <c r="S467" s="78"/>
      <c r="T467" s="80"/>
    </row>
    <row r="468" spans="1:19" ht="18.75" hidden="1">
      <c r="A468" s="448"/>
      <c r="B468" s="449"/>
      <c r="C468" s="450"/>
      <c r="D468" s="450"/>
      <c r="E468" s="451"/>
      <c r="F468" s="201">
        <v>266</v>
      </c>
      <c r="G468" s="202"/>
      <c r="H468" s="452"/>
      <c r="I468" s="453"/>
      <c r="J468" s="209">
        <v>100000</v>
      </c>
      <c r="K468" s="210"/>
      <c r="L468" s="53"/>
      <c r="M468" s="53"/>
      <c r="N468" s="53"/>
      <c r="O468" s="54"/>
      <c r="P468" s="44"/>
      <c r="Q468" s="78">
        <v>74958.48</v>
      </c>
      <c r="R468" s="78">
        <f>J468-Q468</f>
        <v>25041.520000000004</v>
      </c>
      <c r="S468" s="78"/>
    </row>
    <row r="469" spans="1:19" ht="18.75" hidden="1">
      <c r="A469" s="49"/>
      <c r="B469" s="201" t="s">
        <v>130</v>
      </c>
      <c r="C469" s="226"/>
      <c r="D469" s="226"/>
      <c r="E469" s="202"/>
      <c r="F469" s="203"/>
      <c r="G469" s="203"/>
      <c r="H469" s="121" t="s">
        <v>162</v>
      </c>
      <c r="I469" s="122"/>
      <c r="J469" s="215">
        <f>J467+J468</f>
        <v>27952792.34</v>
      </c>
      <c r="K469" s="215"/>
      <c r="L469" s="53"/>
      <c r="M469" s="53"/>
      <c r="N469" s="53"/>
      <c r="O469" s="54"/>
      <c r="P469" s="46"/>
      <c r="Q469" s="78"/>
      <c r="R469" s="78"/>
      <c r="S469" s="78"/>
    </row>
    <row r="470" spans="1:19" ht="18.75" hidden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4"/>
      <c r="P470" s="44"/>
      <c r="Q470" s="78"/>
      <c r="R470" s="78"/>
      <c r="S470" s="78"/>
    </row>
    <row r="471" spans="1:19" ht="18.75" hidden="1">
      <c r="A471" s="53"/>
      <c r="B471" s="53" t="s">
        <v>810</v>
      </c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4"/>
      <c r="P471" s="44"/>
      <c r="Q471" s="78"/>
      <c r="R471" s="78"/>
      <c r="S471" s="78"/>
    </row>
    <row r="472" spans="1:19" ht="18.75" hidden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4"/>
      <c r="P472" s="44"/>
      <c r="Q472" s="78"/>
      <c r="R472" s="78"/>
      <c r="S472" s="78"/>
    </row>
    <row r="473" spans="1:19" ht="93.75" hidden="1">
      <c r="A473" s="49" t="s">
        <v>155</v>
      </c>
      <c r="B473" s="201" t="s">
        <v>167</v>
      </c>
      <c r="C473" s="226"/>
      <c r="D473" s="226"/>
      <c r="E473" s="202"/>
      <c r="F473" s="227" t="s">
        <v>168</v>
      </c>
      <c r="G473" s="228"/>
      <c r="H473" s="61" t="s">
        <v>169</v>
      </c>
      <c r="I473" s="227" t="s">
        <v>170</v>
      </c>
      <c r="J473" s="228"/>
      <c r="K473" s="53"/>
      <c r="L473" s="53"/>
      <c r="M473" s="53"/>
      <c r="N473" s="53"/>
      <c r="O473" s="54"/>
      <c r="P473" s="44"/>
      <c r="Q473" s="78"/>
      <c r="R473" s="78"/>
      <c r="S473" s="78"/>
    </row>
    <row r="474" spans="1:21" ht="18.75" hidden="1">
      <c r="A474" s="187">
        <v>1</v>
      </c>
      <c r="B474" s="201">
        <v>2</v>
      </c>
      <c r="C474" s="226"/>
      <c r="D474" s="226"/>
      <c r="E474" s="202"/>
      <c r="F474" s="201">
        <v>3</v>
      </c>
      <c r="G474" s="202"/>
      <c r="H474" s="187">
        <v>4</v>
      </c>
      <c r="I474" s="201">
        <v>5</v>
      </c>
      <c r="J474" s="202"/>
      <c r="K474" s="53"/>
      <c r="L474" s="53"/>
      <c r="M474" s="53"/>
      <c r="N474" s="53"/>
      <c r="O474" s="54"/>
      <c r="P474" s="44"/>
      <c r="Q474" s="78" t="s">
        <v>309</v>
      </c>
      <c r="R474" s="78">
        <f>Q475</f>
        <v>5500838.39</v>
      </c>
      <c r="S474" s="78"/>
      <c r="T474" s="8"/>
      <c r="U474" s="8"/>
    </row>
    <row r="475" spans="1:21" ht="18.75" customHeight="1" hidden="1">
      <c r="A475" s="49">
        <v>1</v>
      </c>
      <c r="B475" s="204" t="s">
        <v>171</v>
      </c>
      <c r="C475" s="205"/>
      <c r="D475" s="205"/>
      <c r="E475" s="206"/>
      <c r="F475" s="201">
        <v>213</v>
      </c>
      <c r="G475" s="202"/>
      <c r="H475" s="123">
        <v>30.2</v>
      </c>
      <c r="I475" s="209">
        <f>8455357.5-13614.22</f>
        <v>8441743.28</v>
      </c>
      <c r="J475" s="210"/>
      <c r="K475" s="53"/>
      <c r="L475" s="53"/>
      <c r="M475" s="53"/>
      <c r="N475" s="53"/>
      <c r="O475" s="54"/>
      <c r="P475" s="44"/>
      <c r="Q475" s="78">
        <v>5500838.39</v>
      </c>
      <c r="R475" s="78">
        <f>I475-Q475</f>
        <v>2940904.8899999997</v>
      </c>
      <c r="S475" s="78"/>
      <c r="T475" s="80"/>
      <c r="U475" s="80"/>
    </row>
    <row r="476" spans="1:19" ht="18.75" hidden="1">
      <c r="A476" s="49"/>
      <c r="B476" s="201" t="s">
        <v>130</v>
      </c>
      <c r="C476" s="226"/>
      <c r="D476" s="226"/>
      <c r="E476" s="202"/>
      <c r="F476" s="201"/>
      <c r="G476" s="202"/>
      <c r="H476" s="49" t="s">
        <v>172</v>
      </c>
      <c r="I476" s="209">
        <f>SUM(I475:I475)</f>
        <v>8441743.28</v>
      </c>
      <c r="J476" s="210"/>
      <c r="K476" s="53"/>
      <c r="L476" s="53"/>
      <c r="M476" s="53"/>
      <c r="N476" s="53"/>
      <c r="O476" s="54"/>
      <c r="P476" s="46"/>
      <c r="Q476" s="78"/>
      <c r="R476" s="78"/>
      <c r="S476" s="78"/>
    </row>
    <row r="477" spans="1:19" ht="18.75" hidden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4"/>
      <c r="P477" s="44"/>
      <c r="Q477" s="78"/>
      <c r="R477" s="78"/>
      <c r="S477" s="78"/>
    </row>
    <row r="478" spans="1:19" ht="18.75" hidden="1">
      <c r="A478" s="53"/>
      <c r="B478" s="53" t="s">
        <v>811</v>
      </c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4"/>
      <c r="P478" s="44"/>
      <c r="Q478" s="78"/>
      <c r="R478" s="78"/>
      <c r="S478" s="78"/>
    </row>
    <row r="479" spans="1:19" ht="18.75" hidden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4"/>
      <c r="P479" s="44"/>
      <c r="Q479" s="78"/>
      <c r="R479" s="78"/>
      <c r="S479" s="78"/>
    </row>
    <row r="480" spans="1:19" ht="93.75" hidden="1">
      <c r="A480" s="49" t="s">
        <v>155</v>
      </c>
      <c r="B480" s="232" t="s">
        <v>0</v>
      </c>
      <c r="C480" s="237"/>
      <c r="D480" s="237"/>
      <c r="E480" s="233"/>
      <c r="F480" s="259" t="s">
        <v>168</v>
      </c>
      <c r="G480" s="259"/>
      <c r="H480" s="188" t="s">
        <v>301</v>
      </c>
      <c r="I480" s="188" t="s">
        <v>302</v>
      </c>
      <c r="J480" s="188" t="s">
        <v>177</v>
      </c>
      <c r="K480" s="53"/>
      <c r="L480" s="53"/>
      <c r="M480" s="53"/>
      <c r="N480" s="54"/>
      <c r="O480" s="44"/>
      <c r="P480" s="44"/>
      <c r="Q480" s="78"/>
      <c r="R480" s="78"/>
      <c r="S480" s="78"/>
    </row>
    <row r="481" spans="1:19" ht="18.75" hidden="1">
      <c r="A481" s="187">
        <v>1</v>
      </c>
      <c r="B481" s="203">
        <v>2</v>
      </c>
      <c r="C481" s="203"/>
      <c r="D481" s="203"/>
      <c r="E481" s="203"/>
      <c r="F481" s="203">
        <v>3</v>
      </c>
      <c r="G481" s="203"/>
      <c r="H481" s="187">
        <v>4</v>
      </c>
      <c r="I481" s="187">
        <v>5</v>
      </c>
      <c r="J481" s="187">
        <v>6</v>
      </c>
      <c r="K481" s="193"/>
      <c r="L481" s="53"/>
      <c r="M481" s="53"/>
      <c r="N481" s="54"/>
      <c r="O481" s="44"/>
      <c r="P481" s="44"/>
      <c r="Q481" s="78" t="s">
        <v>310</v>
      </c>
      <c r="R481" s="78">
        <f>Q482</f>
        <v>0</v>
      </c>
      <c r="S481" s="78"/>
    </row>
    <row r="482" spans="1:19" ht="18.75" hidden="1">
      <c r="A482" s="150">
        <v>1</v>
      </c>
      <c r="B482" s="454" t="s">
        <v>303</v>
      </c>
      <c r="C482" s="454"/>
      <c r="D482" s="454"/>
      <c r="E482" s="454"/>
      <c r="F482" s="203">
        <v>212</v>
      </c>
      <c r="G482" s="203"/>
      <c r="H482" s="150">
        <v>100</v>
      </c>
      <c r="I482" s="150">
        <f>J482/H482</f>
        <v>20</v>
      </c>
      <c r="J482" s="79">
        <v>2000</v>
      </c>
      <c r="K482" s="53"/>
      <c r="L482" s="53"/>
      <c r="M482" s="53"/>
      <c r="N482" s="54"/>
      <c r="O482" s="44"/>
      <c r="P482" s="44"/>
      <c r="Q482" s="78"/>
      <c r="R482" s="78">
        <f>J482-Q482</f>
        <v>2000</v>
      </c>
      <c r="S482" s="78"/>
    </row>
    <row r="483" spans="1:19" ht="18.75" hidden="1">
      <c r="A483" s="150"/>
      <c r="B483" s="201" t="s">
        <v>130</v>
      </c>
      <c r="C483" s="226"/>
      <c r="D483" s="226"/>
      <c r="E483" s="202"/>
      <c r="F483" s="203"/>
      <c r="G483" s="203"/>
      <c r="H483" s="150" t="s">
        <v>172</v>
      </c>
      <c r="I483" s="150" t="s">
        <v>172</v>
      </c>
      <c r="J483" s="79">
        <f>SUM(J482:J482)</f>
        <v>2000</v>
      </c>
      <c r="K483" s="53"/>
      <c r="L483" s="53"/>
      <c r="M483" s="53"/>
      <c r="N483" s="54"/>
      <c r="O483" s="44"/>
      <c r="P483" s="44"/>
      <c r="Q483" s="78"/>
      <c r="R483" s="78"/>
      <c r="S483" s="78"/>
    </row>
    <row r="484" spans="1:19" ht="18.75" hidden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4"/>
      <c r="P484" s="44"/>
      <c r="Q484" s="78"/>
      <c r="R484" s="78"/>
      <c r="S484" s="78"/>
    </row>
    <row r="485" spans="1:19" ht="18.75" hidden="1">
      <c r="A485" s="53"/>
      <c r="B485" s="53" t="s">
        <v>812</v>
      </c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4"/>
      <c r="P485" s="44"/>
      <c r="Q485" s="78"/>
      <c r="R485" s="78"/>
      <c r="S485" s="78"/>
    </row>
    <row r="486" spans="1:19" ht="18.75" hidden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4"/>
      <c r="P486" s="44"/>
      <c r="Q486" s="78"/>
      <c r="R486" s="78"/>
      <c r="S486" s="78"/>
    </row>
    <row r="487" spans="1:19" ht="75" hidden="1">
      <c r="A487" s="49" t="s">
        <v>155</v>
      </c>
      <c r="B487" s="232" t="s">
        <v>0</v>
      </c>
      <c r="C487" s="237"/>
      <c r="D487" s="237"/>
      <c r="E487" s="233"/>
      <c r="F487" s="259" t="s">
        <v>168</v>
      </c>
      <c r="G487" s="259"/>
      <c r="H487" s="188" t="s">
        <v>304</v>
      </c>
      <c r="I487" s="188" t="s">
        <v>305</v>
      </c>
      <c r="J487" s="188" t="s">
        <v>177</v>
      </c>
      <c r="K487" s="53"/>
      <c r="L487" s="53"/>
      <c r="M487" s="53"/>
      <c r="N487" s="54"/>
      <c r="O487" s="44"/>
      <c r="P487" s="44"/>
      <c r="Q487" s="78"/>
      <c r="R487" s="78"/>
      <c r="S487" s="78"/>
    </row>
    <row r="488" spans="1:19" ht="18.75" hidden="1">
      <c r="A488" s="187">
        <v>1</v>
      </c>
      <c r="B488" s="203">
        <v>2</v>
      </c>
      <c r="C488" s="203"/>
      <c r="D488" s="203"/>
      <c r="E488" s="203"/>
      <c r="F488" s="203">
        <v>3</v>
      </c>
      <c r="G488" s="203"/>
      <c r="H488" s="187">
        <v>4</v>
      </c>
      <c r="I488" s="187">
        <v>5</v>
      </c>
      <c r="J488" s="187">
        <v>6</v>
      </c>
      <c r="K488" s="193"/>
      <c r="L488" s="53"/>
      <c r="M488" s="53"/>
      <c r="N488" s="54"/>
      <c r="O488" s="44"/>
      <c r="P488" s="44"/>
      <c r="Q488" s="78" t="s">
        <v>311</v>
      </c>
      <c r="R488" s="78">
        <f>Q489</f>
        <v>0</v>
      </c>
      <c r="S488" s="78"/>
    </row>
    <row r="489" spans="1:19" ht="41.25" customHeight="1" hidden="1">
      <c r="A489" s="150">
        <v>1</v>
      </c>
      <c r="B489" s="454" t="s">
        <v>306</v>
      </c>
      <c r="C489" s="454"/>
      <c r="D489" s="454"/>
      <c r="E489" s="454"/>
      <c r="F489" s="203">
        <v>226</v>
      </c>
      <c r="G489" s="203"/>
      <c r="H489" s="150">
        <v>3</v>
      </c>
      <c r="I489" s="79">
        <f>J489/H489</f>
        <v>4000</v>
      </c>
      <c r="J489" s="79">
        <v>12000</v>
      </c>
      <c r="K489" s="53"/>
      <c r="L489" s="53"/>
      <c r="M489" s="53"/>
      <c r="N489" s="54"/>
      <c r="O489" s="44"/>
      <c r="P489" s="44"/>
      <c r="Q489" s="78"/>
      <c r="R489" s="78">
        <f>J489-Q489</f>
        <v>12000</v>
      </c>
      <c r="S489" s="78"/>
    </row>
    <row r="490" spans="1:19" ht="18.75" hidden="1">
      <c r="A490" s="150"/>
      <c r="B490" s="201" t="s">
        <v>130</v>
      </c>
      <c r="C490" s="226"/>
      <c r="D490" s="226"/>
      <c r="E490" s="202"/>
      <c r="F490" s="203"/>
      <c r="G490" s="203"/>
      <c r="H490" s="150" t="s">
        <v>172</v>
      </c>
      <c r="I490" s="150" t="s">
        <v>172</v>
      </c>
      <c r="J490" s="79">
        <f>SUM(J489:J489)</f>
        <v>12000</v>
      </c>
      <c r="K490" s="53"/>
      <c r="L490" s="53"/>
      <c r="M490" s="53"/>
      <c r="N490" s="54"/>
      <c r="O490" s="44"/>
      <c r="P490" s="44"/>
      <c r="Q490" s="78"/>
      <c r="R490" s="78"/>
      <c r="S490" s="78"/>
    </row>
    <row r="491" spans="1:19" ht="18.75" hidden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4"/>
      <c r="P491" s="44"/>
      <c r="Q491" s="78"/>
      <c r="R491" s="78"/>
      <c r="S491" s="78"/>
    </row>
    <row r="492" spans="1:19" ht="18.75" hidden="1">
      <c r="A492" s="53"/>
      <c r="B492" s="53" t="s">
        <v>813</v>
      </c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4"/>
      <c r="P492" s="44"/>
      <c r="Q492" s="78"/>
      <c r="R492" s="78"/>
      <c r="S492" s="78"/>
    </row>
    <row r="493" spans="1:19" ht="18.75" hidden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4"/>
      <c r="P493" s="44"/>
      <c r="Q493" s="78"/>
      <c r="R493" s="78"/>
      <c r="S493" s="78"/>
    </row>
    <row r="494" spans="1:19" ht="75" customHeight="1" hidden="1">
      <c r="A494" s="49" t="s">
        <v>155</v>
      </c>
      <c r="B494" s="232" t="s">
        <v>0</v>
      </c>
      <c r="C494" s="237"/>
      <c r="D494" s="237"/>
      <c r="E494" s="233"/>
      <c r="F494" s="259" t="s">
        <v>168</v>
      </c>
      <c r="G494" s="259"/>
      <c r="H494" s="188" t="s">
        <v>174</v>
      </c>
      <c r="I494" s="188" t="s">
        <v>175</v>
      </c>
      <c r="J494" s="188" t="s">
        <v>176</v>
      </c>
      <c r="K494" s="188" t="s">
        <v>177</v>
      </c>
      <c r="L494" s="53"/>
      <c r="M494" s="53"/>
      <c r="N494" s="53"/>
      <c r="O494" s="54"/>
      <c r="P494" s="44"/>
      <c r="Q494" s="78"/>
      <c r="R494" s="78"/>
      <c r="S494" s="78"/>
    </row>
    <row r="495" spans="1:19" ht="18.75" hidden="1">
      <c r="A495" s="187">
        <v>1</v>
      </c>
      <c r="B495" s="203">
        <v>2</v>
      </c>
      <c r="C495" s="203"/>
      <c r="D495" s="203"/>
      <c r="E495" s="203"/>
      <c r="F495" s="203">
        <v>3</v>
      </c>
      <c r="G495" s="203"/>
      <c r="H495" s="187">
        <v>4</v>
      </c>
      <c r="I495" s="187">
        <v>5</v>
      </c>
      <c r="J495" s="187">
        <v>6</v>
      </c>
      <c r="K495" s="187">
        <v>7</v>
      </c>
      <c r="L495" s="193"/>
      <c r="M495" s="193"/>
      <c r="N495" s="193"/>
      <c r="O495" s="62"/>
      <c r="P495" s="45"/>
      <c r="Q495" s="78" t="s">
        <v>814</v>
      </c>
      <c r="R495" s="78">
        <f>Q496</f>
        <v>0</v>
      </c>
      <c r="S495" s="78"/>
    </row>
    <row r="496" spans="1:19" ht="42" customHeight="1" hidden="1">
      <c r="A496" s="49">
        <v>1</v>
      </c>
      <c r="B496" s="256" t="s">
        <v>178</v>
      </c>
      <c r="C496" s="257"/>
      <c r="D496" s="257"/>
      <c r="E496" s="258"/>
      <c r="F496" s="203">
        <v>266</v>
      </c>
      <c r="G496" s="203"/>
      <c r="H496" s="49">
        <v>1</v>
      </c>
      <c r="I496" s="49">
        <v>10</v>
      </c>
      <c r="J496" s="52">
        <v>50</v>
      </c>
      <c r="K496" s="52">
        <v>500</v>
      </c>
      <c r="L496" s="53"/>
      <c r="M496" s="53"/>
      <c r="N496" s="53"/>
      <c r="O496" s="54"/>
      <c r="P496" s="44"/>
      <c r="Q496" s="78"/>
      <c r="R496" s="78">
        <f>K496-Q496</f>
        <v>500</v>
      </c>
      <c r="S496" s="78"/>
    </row>
    <row r="497" spans="1:19" ht="18.75" hidden="1">
      <c r="A497" s="49"/>
      <c r="B497" s="201" t="s">
        <v>130</v>
      </c>
      <c r="C497" s="226"/>
      <c r="D497" s="226"/>
      <c r="E497" s="202"/>
      <c r="F497" s="203"/>
      <c r="G497" s="203"/>
      <c r="H497" s="49" t="s">
        <v>172</v>
      </c>
      <c r="I497" s="49" t="s">
        <v>172</v>
      </c>
      <c r="J497" s="49" t="s">
        <v>172</v>
      </c>
      <c r="K497" s="52">
        <f>SUM(K496:K496)</f>
        <v>500</v>
      </c>
      <c r="L497" s="53"/>
      <c r="M497" s="53"/>
      <c r="N497" s="53"/>
      <c r="O497" s="54"/>
      <c r="P497" s="46"/>
      <c r="Q497" s="78"/>
      <c r="R497" s="78"/>
      <c r="S497" s="78"/>
    </row>
    <row r="498" spans="1:19" ht="18.75" hidden="1">
      <c r="A498" s="56"/>
      <c r="B498" s="145"/>
      <c r="C498" s="145"/>
      <c r="D498" s="145"/>
      <c r="E498" s="145"/>
      <c r="F498" s="55"/>
      <c r="G498" s="55"/>
      <c r="H498" s="56"/>
      <c r="I498" s="56"/>
      <c r="J498" s="56"/>
      <c r="K498" s="152"/>
      <c r="L498" s="53"/>
      <c r="M498" s="53"/>
      <c r="N498" s="53"/>
      <c r="O498" s="54"/>
      <c r="P498" s="46"/>
      <c r="Q498" s="78"/>
      <c r="R498" s="78"/>
      <c r="S498" s="78"/>
    </row>
    <row r="499" spans="1:19" ht="18.75">
      <c r="A499" s="53"/>
      <c r="B499" s="53" t="s">
        <v>262</v>
      </c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4"/>
      <c r="P499" s="44"/>
      <c r="Q499" s="78"/>
      <c r="R499" s="78"/>
      <c r="S499" s="78"/>
    </row>
    <row r="500" spans="1:19" ht="18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4"/>
      <c r="P500" s="44"/>
      <c r="Q500" s="78"/>
      <c r="R500" s="78"/>
      <c r="S500" s="78"/>
    </row>
    <row r="501" spans="1:19" ht="18.75">
      <c r="A501" s="34"/>
      <c r="B501" s="53" t="s">
        <v>179</v>
      </c>
      <c r="C501" s="34"/>
      <c r="D501" s="140">
        <v>244</v>
      </c>
      <c r="E501" s="140"/>
      <c r="F501" s="56"/>
      <c r="G501" s="53"/>
      <c r="H501" s="53"/>
      <c r="I501" s="53"/>
      <c r="J501" s="53"/>
      <c r="K501" s="53"/>
      <c r="L501" s="53"/>
      <c r="M501" s="53"/>
      <c r="N501" s="53"/>
      <c r="O501" s="54"/>
      <c r="P501" s="44"/>
      <c r="Q501" s="78"/>
      <c r="R501" s="78"/>
      <c r="S501" s="78"/>
    </row>
    <row r="502" spans="1:19" ht="18.75">
      <c r="A502" s="34"/>
      <c r="B502" s="53" t="s">
        <v>180</v>
      </c>
      <c r="C502" s="93"/>
      <c r="D502" s="93"/>
      <c r="E502" s="140" t="s">
        <v>154</v>
      </c>
      <c r="F502" s="140"/>
      <c r="G502" s="140"/>
      <c r="H502" s="140"/>
      <c r="I502" s="140"/>
      <c r="J502" s="140"/>
      <c r="K502" s="53"/>
      <c r="L502" s="53"/>
      <c r="M502" s="53"/>
      <c r="N502" s="53"/>
      <c r="O502" s="54"/>
      <c r="P502" s="44"/>
      <c r="Q502" s="78"/>
      <c r="R502" s="78"/>
      <c r="S502" s="78"/>
    </row>
    <row r="503" spans="1:19" ht="18.75">
      <c r="A503" s="53"/>
      <c r="B503" s="53"/>
      <c r="C503" s="56"/>
      <c r="D503" s="56"/>
      <c r="E503" s="56"/>
      <c r="F503" s="56"/>
      <c r="G503" s="53"/>
      <c r="H503" s="53"/>
      <c r="I503" s="53"/>
      <c r="J503" s="53"/>
      <c r="K503" s="53"/>
      <c r="L503" s="53"/>
      <c r="M503" s="53"/>
      <c r="N503" s="53"/>
      <c r="O503" s="54"/>
      <c r="P503" s="44"/>
      <c r="Q503" s="78"/>
      <c r="R503" s="78"/>
      <c r="S503" s="78"/>
    </row>
    <row r="504" spans="1:19" ht="18.75">
      <c r="A504" s="34"/>
      <c r="B504" s="153" t="s">
        <v>377</v>
      </c>
      <c r="C504" s="153"/>
      <c r="D504" s="153"/>
      <c r="E504" s="153"/>
      <c r="F504" s="153"/>
      <c r="G504" s="153"/>
      <c r="H504" s="153"/>
      <c r="I504" s="153"/>
      <c r="J504" s="153"/>
      <c r="K504" s="193"/>
      <c r="L504" s="193"/>
      <c r="M504" s="53"/>
      <c r="N504" s="53"/>
      <c r="O504" s="54"/>
      <c r="P504" s="44"/>
      <c r="Q504" s="78"/>
      <c r="R504" s="78"/>
      <c r="S504" s="78"/>
    </row>
    <row r="505" spans="1:19" ht="18.75">
      <c r="A505" s="34"/>
      <c r="B505" s="153"/>
      <c r="C505" s="153"/>
      <c r="D505" s="153"/>
      <c r="E505" s="153"/>
      <c r="F505" s="153"/>
      <c r="G505" s="153"/>
      <c r="H505" s="153"/>
      <c r="I505" s="153"/>
      <c r="J505" s="153"/>
      <c r="K505" s="193"/>
      <c r="L505" s="193"/>
      <c r="M505" s="53"/>
      <c r="N505" s="53"/>
      <c r="O505" s="54"/>
      <c r="P505" s="44"/>
      <c r="Q505" s="78"/>
      <c r="R505" s="78"/>
      <c r="S505" s="78"/>
    </row>
    <row r="506" spans="1:19" ht="75" customHeight="1">
      <c r="A506" s="49" t="s">
        <v>155</v>
      </c>
      <c r="B506" s="259" t="s">
        <v>156</v>
      </c>
      <c r="C506" s="259"/>
      <c r="D506" s="61" t="s">
        <v>168</v>
      </c>
      <c r="E506" s="259" t="s">
        <v>195</v>
      </c>
      <c r="F506" s="259"/>
      <c r="G506" s="259" t="s">
        <v>196</v>
      </c>
      <c r="H506" s="259"/>
      <c r="I506" s="61" t="s">
        <v>197</v>
      </c>
      <c r="J506" s="61" t="s">
        <v>177</v>
      </c>
      <c r="K506" s="53"/>
      <c r="L506" s="53"/>
      <c r="M506" s="53"/>
      <c r="N506" s="53"/>
      <c r="O506" s="54"/>
      <c r="P506" s="44"/>
      <c r="Q506" s="78"/>
      <c r="R506" s="78"/>
      <c r="S506" s="78"/>
    </row>
    <row r="507" spans="1:19" ht="18.75">
      <c r="A507" s="187">
        <v>1</v>
      </c>
      <c r="B507" s="203">
        <v>2</v>
      </c>
      <c r="C507" s="203"/>
      <c r="D507" s="187">
        <v>3</v>
      </c>
      <c r="E507" s="203">
        <v>4</v>
      </c>
      <c r="F507" s="203"/>
      <c r="G507" s="203">
        <v>5</v>
      </c>
      <c r="H507" s="203"/>
      <c r="I507" s="187">
        <v>6</v>
      </c>
      <c r="J507" s="187">
        <v>7</v>
      </c>
      <c r="K507" s="53"/>
      <c r="L507" s="53"/>
      <c r="M507" s="53"/>
      <c r="N507" s="53"/>
      <c r="O507" s="54"/>
      <c r="P507" s="44"/>
      <c r="Q507" s="78" t="s">
        <v>312</v>
      </c>
      <c r="R507" s="78">
        <f>Q508+Q509</f>
        <v>48063.03</v>
      </c>
      <c r="S507" s="78"/>
    </row>
    <row r="508" spans="1:19" ht="18.75">
      <c r="A508" s="49">
        <v>1</v>
      </c>
      <c r="B508" s="265" t="s">
        <v>198</v>
      </c>
      <c r="C508" s="265"/>
      <c r="D508" s="187">
        <v>221</v>
      </c>
      <c r="E508" s="203">
        <v>2</v>
      </c>
      <c r="F508" s="203"/>
      <c r="G508" s="203">
        <v>12</v>
      </c>
      <c r="H508" s="203"/>
      <c r="I508" s="52">
        <f>J508/G508</f>
        <v>1550</v>
      </c>
      <c r="J508" s="52">
        <f>15600+3000</f>
        <v>18600</v>
      </c>
      <c r="K508" s="53"/>
      <c r="L508" s="53"/>
      <c r="M508" s="53"/>
      <c r="N508" s="53"/>
      <c r="O508" s="54"/>
      <c r="P508" s="44"/>
      <c r="Q508" s="78">
        <f>2379.48+1210.39+1241.78+1287.57+1195.92+1315.42+1315.42+1168.24</f>
        <v>11114.22</v>
      </c>
      <c r="R508" s="78">
        <f>J508-Q508</f>
        <v>7485.780000000001</v>
      </c>
      <c r="S508" s="78"/>
    </row>
    <row r="509" spans="1:19" ht="18.75">
      <c r="A509" s="49">
        <v>2</v>
      </c>
      <c r="B509" s="265" t="s">
        <v>199</v>
      </c>
      <c r="C509" s="265"/>
      <c r="D509" s="187">
        <v>221</v>
      </c>
      <c r="E509" s="203">
        <v>1</v>
      </c>
      <c r="F509" s="203"/>
      <c r="G509" s="203">
        <v>12</v>
      </c>
      <c r="H509" s="203"/>
      <c r="I509" s="52">
        <f>ROUND(J509/G509,2)</f>
        <v>12316.27</v>
      </c>
      <c r="J509" s="52">
        <v>147795.24</v>
      </c>
      <c r="K509" s="53"/>
      <c r="L509" s="53"/>
      <c r="M509" s="53"/>
      <c r="N509" s="53"/>
      <c r="O509" s="54"/>
      <c r="P509" s="44"/>
      <c r="Q509" s="78">
        <f>24632.54+12316.27</f>
        <v>36948.81</v>
      </c>
      <c r="R509" s="78">
        <f>J509-Q509</f>
        <v>110846.43</v>
      </c>
      <c r="S509" s="78"/>
    </row>
    <row r="510" spans="1:19" ht="18.75">
      <c r="A510" s="49"/>
      <c r="B510" s="203" t="s">
        <v>130</v>
      </c>
      <c r="C510" s="203"/>
      <c r="D510" s="187"/>
      <c r="E510" s="203" t="s">
        <v>172</v>
      </c>
      <c r="F510" s="203"/>
      <c r="G510" s="203" t="s">
        <v>172</v>
      </c>
      <c r="H510" s="203"/>
      <c r="I510" s="49" t="s">
        <v>172</v>
      </c>
      <c r="J510" s="52">
        <f>SUM(J508:J509)</f>
        <v>166395.24</v>
      </c>
      <c r="K510" s="53"/>
      <c r="L510" s="53"/>
      <c r="M510" s="53"/>
      <c r="N510" s="53"/>
      <c r="O510" s="54"/>
      <c r="P510" s="51"/>
      <c r="Q510" s="78"/>
      <c r="R510" s="78"/>
      <c r="S510" s="78"/>
    </row>
    <row r="511" spans="1:19" ht="18.75">
      <c r="A511" s="34"/>
      <c r="B511" s="153"/>
      <c r="C511" s="153"/>
      <c r="D511" s="153"/>
      <c r="E511" s="153"/>
      <c r="F511" s="153"/>
      <c r="G511" s="153"/>
      <c r="H511" s="153"/>
      <c r="I511" s="153"/>
      <c r="J511" s="153"/>
      <c r="K511" s="193"/>
      <c r="L511" s="193"/>
      <c r="M511" s="53"/>
      <c r="N511" s="53"/>
      <c r="O511" s="54"/>
      <c r="P511" s="44"/>
      <c r="Q511" s="78"/>
      <c r="R511" s="78"/>
      <c r="S511" s="78"/>
    </row>
    <row r="512" spans="1:19" ht="18.75">
      <c r="A512" s="34"/>
      <c r="B512" s="53" t="s">
        <v>378</v>
      </c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4"/>
      <c r="P512" s="44"/>
      <c r="Q512" s="78"/>
      <c r="R512" s="78"/>
      <c r="S512" s="78"/>
    </row>
    <row r="513" spans="1:19" ht="18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4"/>
      <c r="P513" s="44"/>
      <c r="Q513" s="78"/>
      <c r="R513" s="78"/>
      <c r="S513" s="78"/>
    </row>
    <row r="514" spans="1:19" ht="37.5" customHeight="1">
      <c r="A514" s="49" t="s">
        <v>155</v>
      </c>
      <c r="B514" s="259" t="s">
        <v>0</v>
      </c>
      <c r="C514" s="259"/>
      <c r="D514" s="259"/>
      <c r="E514" s="259"/>
      <c r="F514" s="259" t="s">
        <v>168</v>
      </c>
      <c r="G514" s="259"/>
      <c r="H514" s="61" t="s">
        <v>188</v>
      </c>
      <c r="I514" s="61" t="s">
        <v>173</v>
      </c>
      <c r="J514" s="53"/>
      <c r="K514" s="53"/>
      <c r="L514" s="53"/>
      <c r="M514" s="53"/>
      <c r="N514" s="53"/>
      <c r="O514" s="54"/>
      <c r="P514" s="44"/>
      <c r="Q514" s="78"/>
      <c r="R514" s="78"/>
      <c r="S514" s="78"/>
    </row>
    <row r="515" spans="1:19" ht="18.75">
      <c r="A515" s="187">
        <v>1</v>
      </c>
      <c r="B515" s="203">
        <v>2</v>
      </c>
      <c r="C515" s="203"/>
      <c r="D515" s="203"/>
      <c r="E515" s="203"/>
      <c r="F515" s="203">
        <v>3</v>
      </c>
      <c r="G515" s="203"/>
      <c r="H515" s="187">
        <v>4</v>
      </c>
      <c r="I515" s="187">
        <v>5</v>
      </c>
      <c r="J515" s="193"/>
      <c r="K515" s="193"/>
      <c r="L515" s="193"/>
      <c r="M515" s="193"/>
      <c r="N515" s="193"/>
      <c r="O515" s="62"/>
      <c r="P515" s="45"/>
      <c r="Q515" s="78" t="s">
        <v>311</v>
      </c>
      <c r="R515" s="78">
        <f>Q516+Q517+Q518+Q519</f>
        <v>173801.48</v>
      </c>
      <c r="S515" s="78"/>
    </row>
    <row r="516" spans="1:19" ht="18.75" customHeight="1">
      <c r="A516" s="49">
        <v>1</v>
      </c>
      <c r="B516" s="262" t="s">
        <v>235</v>
      </c>
      <c r="C516" s="262"/>
      <c r="D516" s="262"/>
      <c r="E516" s="262"/>
      <c r="F516" s="203">
        <v>226</v>
      </c>
      <c r="G516" s="203"/>
      <c r="H516" s="49">
        <v>1</v>
      </c>
      <c r="I516" s="52">
        <v>23000</v>
      </c>
      <c r="J516" s="53"/>
      <c r="K516" s="53"/>
      <c r="L516" s="53"/>
      <c r="M516" s="53"/>
      <c r="N516" s="53"/>
      <c r="O516" s="54"/>
      <c r="P516" s="44"/>
      <c r="Q516" s="78"/>
      <c r="R516" s="78">
        <f>I516-Q516</f>
        <v>23000</v>
      </c>
      <c r="S516" s="78"/>
    </row>
    <row r="517" spans="1:19" ht="21" customHeight="1">
      <c r="A517" s="49">
        <v>2</v>
      </c>
      <c r="B517" s="240" t="s">
        <v>276</v>
      </c>
      <c r="C517" s="241"/>
      <c r="D517" s="241"/>
      <c r="E517" s="242"/>
      <c r="F517" s="201">
        <v>226</v>
      </c>
      <c r="G517" s="202"/>
      <c r="H517" s="49">
        <v>2</v>
      </c>
      <c r="I517" s="52">
        <f>200000-1000</f>
        <v>199000</v>
      </c>
      <c r="J517" s="53"/>
      <c r="K517" s="53"/>
      <c r="L517" s="53"/>
      <c r="M517" s="53"/>
      <c r="N517" s="53"/>
      <c r="O517" s="54"/>
      <c r="P517" s="44"/>
      <c r="Q517" s="78">
        <f>163026</f>
        <v>163026</v>
      </c>
      <c r="R517" s="78">
        <f>I517-Q517</f>
        <v>35974</v>
      </c>
      <c r="S517" s="78"/>
    </row>
    <row r="518" spans="1:19" ht="21" customHeight="1">
      <c r="A518" s="49">
        <v>3</v>
      </c>
      <c r="B518" s="240" t="s">
        <v>371</v>
      </c>
      <c r="C518" s="241"/>
      <c r="D518" s="241"/>
      <c r="E518" s="242"/>
      <c r="F518" s="201">
        <v>226</v>
      </c>
      <c r="G518" s="202"/>
      <c r="H518" s="49">
        <v>1</v>
      </c>
      <c r="I518" s="52">
        <f>10000-172.15</f>
        <v>9827.85</v>
      </c>
      <c r="J518" s="53"/>
      <c r="K518" s="53"/>
      <c r="L518" s="53"/>
      <c r="M518" s="53"/>
      <c r="N518" s="53"/>
      <c r="O518" s="54"/>
      <c r="P518" s="44"/>
      <c r="Q518" s="78">
        <v>9775.48</v>
      </c>
      <c r="R518" s="78">
        <f>I518-Q518</f>
        <v>52.3700000000008</v>
      </c>
      <c r="S518" s="78"/>
    </row>
    <row r="519" spans="1:19" ht="21" customHeight="1">
      <c r="A519" s="49">
        <v>4</v>
      </c>
      <c r="B519" s="240" t="s">
        <v>544</v>
      </c>
      <c r="C519" s="241"/>
      <c r="D519" s="241"/>
      <c r="E519" s="242"/>
      <c r="F519" s="201">
        <v>226</v>
      </c>
      <c r="G519" s="202"/>
      <c r="H519" s="49">
        <v>1</v>
      </c>
      <c r="I519" s="52">
        <v>1000</v>
      </c>
      <c r="J519" s="53"/>
      <c r="K519" s="53"/>
      <c r="L519" s="53"/>
      <c r="M519" s="53"/>
      <c r="N519" s="53"/>
      <c r="O519" s="54"/>
      <c r="P519" s="44"/>
      <c r="Q519" s="78">
        <v>1000</v>
      </c>
      <c r="R519" s="78">
        <f>I519-Q519</f>
        <v>0</v>
      </c>
      <c r="S519" s="78"/>
    </row>
    <row r="520" spans="1:19" ht="18.75">
      <c r="A520" s="49"/>
      <c r="B520" s="201" t="s">
        <v>130</v>
      </c>
      <c r="C520" s="226"/>
      <c r="D520" s="226"/>
      <c r="E520" s="202"/>
      <c r="F520" s="203"/>
      <c r="G520" s="203"/>
      <c r="H520" s="49" t="s">
        <v>6</v>
      </c>
      <c r="I520" s="52">
        <f>SUM(I516:I519)</f>
        <v>232827.85</v>
      </c>
      <c r="J520" s="53"/>
      <c r="K520" s="53"/>
      <c r="L520" s="53"/>
      <c r="M520" s="53"/>
      <c r="N520" s="53"/>
      <c r="O520" s="54"/>
      <c r="P520" s="46"/>
      <c r="Q520" s="78"/>
      <c r="R520" s="78"/>
      <c r="S520" s="78"/>
    </row>
    <row r="521" spans="1:19" ht="18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4"/>
      <c r="P521" s="44"/>
      <c r="Q521" s="78"/>
      <c r="R521" s="78"/>
      <c r="S521" s="78"/>
    </row>
    <row r="522" spans="1:19" ht="18.75">
      <c r="A522" s="34"/>
      <c r="B522" s="53" t="s">
        <v>379</v>
      </c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4"/>
      <c r="P522" s="44"/>
      <c r="Q522" s="78"/>
      <c r="R522" s="78"/>
      <c r="S522" s="78"/>
    </row>
    <row r="523" spans="1:19" ht="18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4"/>
      <c r="P523" s="44"/>
      <c r="Q523" s="78"/>
      <c r="R523" s="78"/>
      <c r="S523" s="78"/>
    </row>
    <row r="524" spans="1:19" ht="56.25" customHeight="1">
      <c r="A524" s="49" t="s">
        <v>155</v>
      </c>
      <c r="B524" s="259" t="s">
        <v>0</v>
      </c>
      <c r="C524" s="259"/>
      <c r="D524" s="259"/>
      <c r="E524" s="259"/>
      <c r="F524" s="259" t="s">
        <v>168</v>
      </c>
      <c r="G524" s="259"/>
      <c r="H524" s="61" t="s">
        <v>189</v>
      </c>
      <c r="I524" s="61" t="s">
        <v>190</v>
      </c>
      <c r="J524" s="61" t="s">
        <v>191</v>
      </c>
      <c r="K524" s="53"/>
      <c r="L524" s="53"/>
      <c r="M524" s="53"/>
      <c r="N524" s="53"/>
      <c r="O524" s="54"/>
      <c r="P524" s="44"/>
      <c r="Q524" s="78"/>
      <c r="R524" s="78"/>
      <c r="S524" s="78"/>
    </row>
    <row r="525" spans="1:19" ht="18.75">
      <c r="A525" s="187">
        <v>1</v>
      </c>
      <c r="B525" s="203">
        <v>2</v>
      </c>
      <c r="C525" s="203"/>
      <c r="D525" s="203"/>
      <c r="E525" s="203"/>
      <c r="F525" s="203">
        <v>3</v>
      </c>
      <c r="G525" s="203"/>
      <c r="H525" s="187">
        <v>4</v>
      </c>
      <c r="I525" s="187">
        <v>5</v>
      </c>
      <c r="J525" s="187">
        <v>6</v>
      </c>
      <c r="K525" s="193"/>
      <c r="L525" s="193"/>
      <c r="M525" s="193"/>
      <c r="N525" s="193"/>
      <c r="O525" s="62"/>
      <c r="P525" s="45"/>
      <c r="Q525" s="78" t="s">
        <v>313</v>
      </c>
      <c r="R525" s="78">
        <f>Q526</f>
        <v>808866.53</v>
      </c>
      <c r="S525" s="78"/>
    </row>
    <row r="526" spans="1:19" ht="18.75">
      <c r="A526" s="49">
        <v>1</v>
      </c>
      <c r="B526" s="211" t="s">
        <v>236</v>
      </c>
      <c r="C526" s="211"/>
      <c r="D526" s="211"/>
      <c r="E526" s="211"/>
      <c r="F526" s="203">
        <v>310</v>
      </c>
      <c r="G526" s="203"/>
      <c r="H526" s="48">
        <v>1500</v>
      </c>
      <c r="I526" s="52">
        <f>J526/H526</f>
        <v>539.2443533333334</v>
      </c>
      <c r="J526" s="52">
        <f>750000+58694.38+172.15</f>
        <v>808866.53</v>
      </c>
      <c r="K526" s="53"/>
      <c r="L526" s="53"/>
      <c r="M526" s="53"/>
      <c r="N526" s="53"/>
      <c r="O526" s="54"/>
      <c r="P526" s="44"/>
      <c r="Q526" s="78">
        <v>808866.53</v>
      </c>
      <c r="R526" s="78">
        <f>J526-Q526</f>
        <v>0</v>
      </c>
      <c r="S526" s="78"/>
    </row>
    <row r="527" spans="1:19" ht="18.75">
      <c r="A527" s="49"/>
      <c r="B527" s="201" t="s">
        <v>130</v>
      </c>
      <c r="C527" s="226"/>
      <c r="D527" s="226"/>
      <c r="E527" s="202"/>
      <c r="F527" s="263"/>
      <c r="G527" s="263"/>
      <c r="H527" s="49"/>
      <c r="I527" s="49" t="s">
        <v>6</v>
      </c>
      <c r="J527" s="183">
        <f>SUM(J526:J526)</f>
        <v>808866.53</v>
      </c>
      <c r="K527" s="53"/>
      <c r="L527" s="130"/>
      <c r="M527" s="53"/>
      <c r="N527" s="53"/>
      <c r="O527" s="54"/>
      <c r="P527" s="47"/>
      <c r="Q527" s="78"/>
      <c r="R527" s="78"/>
      <c r="S527" s="78"/>
    </row>
    <row r="528" spans="1:19" ht="18.75">
      <c r="A528" s="56"/>
      <c r="B528" s="56"/>
      <c r="C528" s="56"/>
      <c r="D528" s="56"/>
      <c r="E528" s="56"/>
      <c r="F528" s="56"/>
      <c r="G528" s="152"/>
      <c r="H528" s="53"/>
      <c r="I528" s="53"/>
      <c r="J528" s="53"/>
      <c r="K528" s="53"/>
      <c r="L528" s="53"/>
      <c r="M528" s="53"/>
      <c r="N528" s="53"/>
      <c r="O528" s="54"/>
      <c r="P528" s="46"/>
      <c r="Q528" s="78"/>
      <c r="R528" s="78"/>
      <c r="S528" s="78"/>
    </row>
    <row r="529" spans="1:19" ht="18.75" hidden="1">
      <c r="A529" s="34"/>
      <c r="B529" s="53" t="s">
        <v>229</v>
      </c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4"/>
      <c r="P529" s="44"/>
      <c r="Q529" s="78"/>
      <c r="R529" s="78"/>
      <c r="S529" s="78"/>
    </row>
    <row r="530" spans="1:19" ht="18.75" hidden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4"/>
      <c r="P530" s="44"/>
      <c r="Q530" s="78"/>
      <c r="R530" s="78"/>
      <c r="S530" s="78"/>
    </row>
    <row r="531" spans="1:19" ht="56.25" hidden="1">
      <c r="A531" s="49" t="s">
        <v>155</v>
      </c>
      <c r="B531" s="259" t="s">
        <v>0</v>
      </c>
      <c r="C531" s="259"/>
      <c r="D531" s="259"/>
      <c r="E531" s="259"/>
      <c r="F531" s="259" t="s">
        <v>168</v>
      </c>
      <c r="G531" s="259"/>
      <c r="H531" s="61" t="s">
        <v>189</v>
      </c>
      <c r="I531" s="61" t="s">
        <v>190</v>
      </c>
      <c r="J531" s="61" t="s">
        <v>191</v>
      </c>
      <c r="K531" s="53"/>
      <c r="L531" s="53"/>
      <c r="M531" s="53"/>
      <c r="N531" s="53"/>
      <c r="O531" s="54"/>
      <c r="P531" s="44"/>
      <c r="Q531" s="78"/>
      <c r="R531" s="78"/>
      <c r="S531" s="78"/>
    </row>
    <row r="532" spans="1:19" ht="18.75" hidden="1">
      <c r="A532" s="187">
        <v>1</v>
      </c>
      <c r="B532" s="203">
        <v>2</v>
      </c>
      <c r="C532" s="203"/>
      <c r="D532" s="203"/>
      <c r="E532" s="203"/>
      <c r="F532" s="203">
        <v>3</v>
      </c>
      <c r="G532" s="203"/>
      <c r="H532" s="187">
        <v>4</v>
      </c>
      <c r="I532" s="187">
        <v>5</v>
      </c>
      <c r="J532" s="187">
        <v>6</v>
      </c>
      <c r="K532" s="193"/>
      <c r="L532" s="193"/>
      <c r="M532" s="193"/>
      <c r="N532" s="193"/>
      <c r="O532" s="62"/>
      <c r="P532" s="45"/>
      <c r="Q532" s="78"/>
      <c r="R532" s="78"/>
      <c r="S532" s="78"/>
    </row>
    <row r="533" spans="1:19" ht="18.75" hidden="1">
      <c r="A533" s="49">
        <v>1</v>
      </c>
      <c r="B533" s="211"/>
      <c r="C533" s="211"/>
      <c r="D533" s="211"/>
      <c r="E533" s="211"/>
      <c r="F533" s="203">
        <v>346</v>
      </c>
      <c r="G533" s="203"/>
      <c r="H533" s="49"/>
      <c r="I533" s="52" t="e">
        <f>J533/H533</f>
        <v>#DIV/0!</v>
      </c>
      <c r="J533" s="52"/>
      <c r="K533" s="53"/>
      <c r="L533" s="53"/>
      <c r="M533" s="53"/>
      <c r="N533" s="53"/>
      <c r="O533" s="54"/>
      <c r="P533" s="44"/>
      <c r="Q533" s="78"/>
      <c r="R533" s="78"/>
      <c r="S533" s="78"/>
    </row>
    <row r="534" spans="1:19" ht="18.75" hidden="1">
      <c r="A534" s="49">
        <v>2</v>
      </c>
      <c r="B534" s="211"/>
      <c r="C534" s="211"/>
      <c r="D534" s="211"/>
      <c r="E534" s="211"/>
      <c r="F534" s="203">
        <v>346</v>
      </c>
      <c r="G534" s="203"/>
      <c r="H534" s="49"/>
      <c r="I534" s="52" t="e">
        <f>J534/H534</f>
        <v>#DIV/0!</v>
      </c>
      <c r="J534" s="52"/>
      <c r="K534" s="53"/>
      <c r="L534" s="53"/>
      <c r="M534" s="53"/>
      <c r="N534" s="53"/>
      <c r="O534" s="54"/>
      <c r="P534" s="44"/>
      <c r="Q534" s="78"/>
      <c r="R534" s="78"/>
      <c r="S534" s="78"/>
    </row>
    <row r="535" spans="1:19" ht="18.75" hidden="1">
      <c r="A535" s="49"/>
      <c r="B535" s="265" t="s">
        <v>130</v>
      </c>
      <c r="C535" s="265"/>
      <c r="D535" s="265"/>
      <c r="E535" s="265"/>
      <c r="F535" s="263"/>
      <c r="G535" s="263"/>
      <c r="H535" s="49"/>
      <c r="I535" s="49" t="s">
        <v>6</v>
      </c>
      <c r="J535" s="52">
        <f>SUM(J533:J534)</f>
        <v>0</v>
      </c>
      <c r="K535" s="53"/>
      <c r="L535" s="53"/>
      <c r="M535" s="53"/>
      <c r="N535" s="53"/>
      <c r="O535" s="54"/>
      <c r="P535" s="46"/>
      <c r="Q535" s="78"/>
      <c r="R535" s="78"/>
      <c r="S535" s="78"/>
    </row>
    <row r="536" spans="1:19" ht="18.75" hidden="1">
      <c r="A536" s="56"/>
      <c r="B536" s="145"/>
      <c r="C536" s="145"/>
      <c r="D536" s="145"/>
      <c r="E536" s="145"/>
      <c r="F536" s="62"/>
      <c r="G536" s="62"/>
      <c r="H536" s="56"/>
      <c r="I536" s="56"/>
      <c r="J536" s="63"/>
      <c r="K536" s="53"/>
      <c r="L536" s="53"/>
      <c r="M536" s="53"/>
      <c r="N536" s="53"/>
      <c r="O536" s="54"/>
      <c r="P536" s="46"/>
      <c r="Q536" s="78"/>
      <c r="R536" s="78"/>
      <c r="S536" s="78"/>
    </row>
    <row r="537" spans="1:19" ht="18.75">
      <c r="A537" s="53"/>
      <c r="B537" s="53" t="s">
        <v>380</v>
      </c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4"/>
      <c r="P537" s="46"/>
      <c r="Q537" s="78"/>
      <c r="R537" s="78"/>
      <c r="S537" s="78"/>
    </row>
    <row r="538" spans="1:19" ht="18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4"/>
      <c r="P538" s="46"/>
      <c r="Q538" s="78"/>
      <c r="R538" s="78"/>
      <c r="S538" s="78"/>
    </row>
    <row r="539" spans="1:19" ht="56.25" customHeight="1">
      <c r="A539" s="49" t="s">
        <v>155</v>
      </c>
      <c r="B539" s="259" t="s">
        <v>0</v>
      </c>
      <c r="C539" s="259"/>
      <c r="D539" s="259"/>
      <c r="E539" s="259" t="s">
        <v>168</v>
      </c>
      <c r="F539" s="259"/>
      <c r="G539" s="259" t="s">
        <v>189</v>
      </c>
      <c r="H539" s="259"/>
      <c r="I539" s="61" t="s">
        <v>190</v>
      </c>
      <c r="J539" s="61" t="s">
        <v>219</v>
      </c>
      <c r="K539" s="53"/>
      <c r="L539" s="53"/>
      <c r="M539" s="53"/>
      <c r="N539" s="53"/>
      <c r="O539" s="54"/>
      <c r="P539" s="46"/>
      <c r="Q539" s="78"/>
      <c r="R539" s="78"/>
      <c r="S539" s="78"/>
    </row>
    <row r="540" spans="1:19" ht="18.75">
      <c r="A540" s="187">
        <v>1</v>
      </c>
      <c r="B540" s="203">
        <v>2</v>
      </c>
      <c r="C540" s="203"/>
      <c r="D540" s="203"/>
      <c r="E540" s="203">
        <v>3</v>
      </c>
      <c r="F540" s="203"/>
      <c r="G540" s="203">
        <v>4</v>
      </c>
      <c r="H540" s="203"/>
      <c r="I540" s="187">
        <v>5</v>
      </c>
      <c r="J540" s="187">
        <v>6</v>
      </c>
      <c r="K540" s="193"/>
      <c r="L540" s="53"/>
      <c r="M540" s="53"/>
      <c r="N540" s="53"/>
      <c r="O540" s="54"/>
      <c r="P540" s="46"/>
      <c r="Q540" s="78" t="s">
        <v>321</v>
      </c>
      <c r="R540" s="78">
        <f>Q541+Q542</f>
        <v>3738</v>
      </c>
      <c r="S540" s="78"/>
    </row>
    <row r="541" spans="1:19" ht="18.75" customHeight="1">
      <c r="A541" s="49">
        <v>1</v>
      </c>
      <c r="B541" s="198" t="s">
        <v>343</v>
      </c>
      <c r="C541" s="199"/>
      <c r="D541" s="200"/>
      <c r="E541" s="201">
        <v>346</v>
      </c>
      <c r="F541" s="202"/>
      <c r="G541" s="201">
        <v>44</v>
      </c>
      <c r="H541" s="202"/>
      <c r="I541" s="52">
        <f>J541/G541</f>
        <v>113.63636363636364</v>
      </c>
      <c r="J541" s="52">
        <v>5000</v>
      </c>
      <c r="K541" s="53"/>
      <c r="L541" s="53"/>
      <c r="M541" s="53"/>
      <c r="N541" s="53"/>
      <c r="O541" s="54"/>
      <c r="P541" s="46"/>
      <c r="Q541" s="78">
        <v>3738</v>
      </c>
      <c r="R541" s="78">
        <f>J541-Q541</f>
        <v>1262</v>
      </c>
      <c r="S541" s="78"/>
    </row>
    <row r="542" spans="1:19" ht="18.75" customHeight="1">
      <c r="A542" s="49">
        <v>2</v>
      </c>
      <c r="B542" s="198" t="s">
        <v>284</v>
      </c>
      <c r="C542" s="199"/>
      <c r="D542" s="200"/>
      <c r="E542" s="201">
        <v>346</v>
      </c>
      <c r="F542" s="202"/>
      <c r="G542" s="201">
        <v>100</v>
      </c>
      <c r="H542" s="202"/>
      <c r="I542" s="52">
        <f>J542/G542</f>
        <v>148.7476</v>
      </c>
      <c r="J542" s="52">
        <v>14874.76</v>
      </c>
      <c r="K542" s="53"/>
      <c r="L542" s="53"/>
      <c r="M542" s="53"/>
      <c r="N542" s="53"/>
      <c r="O542" s="54"/>
      <c r="P542" s="46"/>
      <c r="Q542" s="78"/>
      <c r="R542" s="78">
        <f>J542-Q542</f>
        <v>14874.76</v>
      </c>
      <c r="S542" s="78"/>
    </row>
    <row r="543" spans="1:19" ht="18.75">
      <c r="A543" s="49"/>
      <c r="B543" s="201" t="s">
        <v>130</v>
      </c>
      <c r="C543" s="226"/>
      <c r="D543" s="202"/>
      <c r="E543" s="203"/>
      <c r="F543" s="203"/>
      <c r="G543" s="203"/>
      <c r="H543" s="203"/>
      <c r="I543" s="49" t="s">
        <v>6</v>
      </c>
      <c r="J543" s="52">
        <f>SUM(J541:J542)</f>
        <v>19874.760000000002</v>
      </c>
      <c r="K543" s="53"/>
      <c r="L543" s="53"/>
      <c r="M543" s="53"/>
      <c r="N543" s="53"/>
      <c r="O543" s="54"/>
      <c r="P543" s="46"/>
      <c r="Q543" s="78"/>
      <c r="R543" s="78"/>
      <c r="S543" s="78"/>
    </row>
    <row r="544" spans="1:19" ht="18.75">
      <c r="A544" s="56"/>
      <c r="B544" s="145"/>
      <c r="C544" s="145"/>
      <c r="D544" s="145"/>
      <c r="E544" s="145"/>
      <c r="F544" s="62"/>
      <c r="G544" s="62"/>
      <c r="H544" s="56"/>
      <c r="I544" s="56"/>
      <c r="J544" s="63"/>
      <c r="K544" s="53"/>
      <c r="L544" s="53"/>
      <c r="M544" s="53"/>
      <c r="N544" s="53"/>
      <c r="O544" s="54"/>
      <c r="P544" s="46"/>
      <c r="Q544" s="78"/>
      <c r="R544" s="78"/>
      <c r="S544" s="78"/>
    </row>
    <row r="545" spans="1:19" ht="18.75">
      <c r="A545" s="53"/>
      <c r="B545" s="53" t="s">
        <v>381</v>
      </c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4"/>
      <c r="P545" s="46"/>
      <c r="Q545" s="78"/>
      <c r="R545" s="78"/>
      <c r="S545" s="78"/>
    </row>
    <row r="546" spans="1:19" ht="18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4"/>
      <c r="P546" s="46"/>
      <c r="Q546" s="78"/>
      <c r="R546" s="78"/>
      <c r="S546" s="78"/>
    </row>
    <row r="547" spans="1:19" ht="56.25">
      <c r="A547" s="49" t="s">
        <v>155</v>
      </c>
      <c r="B547" s="259" t="s">
        <v>0</v>
      </c>
      <c r="C547" s="259"/>
      <c r="D547" s="259"/>
      <c r="E547" s="259" t="s">
        <v>168</v>
      </c>
      <c r="F547" s="259"/>
      <c r="G547" s="259" t="s">
        <v>189</v>
      </c>
      <c r="H547" s="259"/>
      <c r="I547" s="61" t="s">
        <v>190</v>
      </c>
      <c r="J547" s="61" t="s">
        <v>219</v>
      </c>
      <c r="K547" s="53"/>
      <c r="L547" s="53"/>
      <c r="M547" s="53"/>
      <c r="N547" s="53"/>
      <c r="O547" s="54"/>
      <c r="P547" s="46"/>
      <c r="Q547" s="78"/>
      <c r="R547" s="78"/>
      <c r="S547" s="78"/>
    </row>
    <row r="548" spans="1:19" ht="18.75">
      <c r="A548" s="187">
        <v>1</v>
      </c>
      <c r="B548" s="203">
        <v>2</v>
      </c>
      <c r="C548" s="203"/>
      <c r="D548" s="203"/>
      <c r="E548" s="203">
        <v>3</v>
      </c>
      <c r="F548" s="203"/>
      <c r="G548" s="203">
        <v>4</v>
      </c>
      <c r="H548" s="203"/>
      <c r="I548" s="187">
        <v>5</v>
      </c>
      <c r="J548" s="187">
        <v>6</v>
      </c>
      <c r="K548" s="193"/>
      <c r="L548" s="53"/>
      <c r="M548" s="53"/>
      <c r="N548" s="53"/>
      <c r="O548" s="54"/>
      <c r="P548" s="46"/>
      <c r="Q548" s="78" t="s">
        <v>334</v>
      </c>
      <c r="R548" s="78">
        <f>Q549</f>
        <v>36136.5</v>
      </c>
      <c r="S548" s="78"/>
    </row>
    <row r="549" spans="1:19" ht="18.75">
      <c r="A549" s="49">
        <v>1</v>
      </c>
      <c r="B549" s="211" t="s">
        <v>335</v>
      </c>
      <c r="C549" s="211"/>
      <c r="D549" s="211"/>
      <c r="E549" s="203">
        <v>349</v>
      </c>
      <c r="F549" s="203"/>
      <c r="G549" s="203">
        <v>370</v>
      </c>
      <c r="H549" s="203"/>
      <c r="I549" s="52">
        <f>J549/G549</f>
        <v>108.10810810810811</v>
      </c>
      <c r="J549" s="52">
        <v>40000</v>
      </c>
      <c r="K549" s="53"/>
      <c r="L549" s="53"/>
      <c r="M549" s="53"/>
      <c r="N549" s="53"/>
      <c r="O549" s="54"/>
      <c r="P549" s="46"/>
      <c r="Q549" s="78">
        <f>36136.5</f>
        <v>36136.5</v>
      </c>
      <c r="R549" s="78">
        <f>J549-Q549</f>
        <v>3863.5</v>
      </c>
      <c r="S549" s="78"/>
    </row>
    <row r="550" spans="1:19" ht="18.75">
      <c r="A550" s="49"/>
      <c r="B550" s="201" t="s">
        <v>130</v>
      </c>
      <c r="C550" s="226"/>
      <c r="D550" s="202"/>
      <c r="E550" s="203"/>
      <c r="F550" s="203"/>
      <c r="G550" s="203"/>
      <c r="H550" s="203"/>
      <c r="I550" s="49" t="s">
        <v>6</v>
      </c>
      <c r="J550" s="52">
        <f>SUM(J549:J549)</f>
        <v>40000</v>
      </c>
      <c r="K550" s="53"/>
      <c r="L550" s="53"/>
      <c r="M550" s="53"/>
      <c r="N550" s="53"/>
      <c r="O550" s="54"/>
      <c r="P550" s="46"/>
      <c r="Q550" s="78"/>
      <c r="R550" s="78"/>
      <c r="S550" s="78"/>
    </row>
    <row r="551" spans="1:19" ht="18.75">
      <c r="A551" s="56"/>
      <c r="B551" s="145"/>
      <c r="C551" s="145"/>
      <c r="D551" s="145"/>
      <c r="E551" s="145"/>
      <c r="F551" s="62"/>
      <c r="G551" s="62"/>
      <c r="H551" s="56"/>
      <c r="I551" s="56"/>
      <c r="J551" s="63"/>
      <c r="K551" s="53"/>
      <c r="L551" s="53"/>
      <c r="M551" s="53"/>
      <c r="N551" s="53"/>
      <c r="O551" s="54"/>
      <c r="P551" s="46"/>
      <c r="Q551" s="78"/>
      <c r="R551" s="78"/>
      <c r="S551" s="78"/>
    </row>
    <row r="552" spans="1:19" ht="18.75" hidden="1">
      <c r="A552" s="53"/>
      <c r="B552" s="53" t="s">
        <v>263</v>
      </c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4"/>
      <c r="P552" s="44"/>
      <c r="Q552" s="78"/>
      <c r="R552" s="78"/>
      <c r="S552" s="78"/>
    </row>
    <row r="553" spans="1:19" ht="18.75" hidden="1">
      <c r="A553" s="53"/>
      <c r="B553" s="53" t="s">
        <v>152</v>
      </c>
      <c r="C553" s="93"/>
      <c r="D553" s="140">
        <v>100</v>
      </c>
      <c r="E553" s="140"/>
      <c r="F553" s="140"/>
      <c r="G553" s="140"/>
      <c r="H553" s="56"/>
      <c r="I553" s="53"/>
      <c r="J553" s="53"/>
      <c r="K553" s="53"/>
      <c r="L553" s="53"/>
      <c r="M553" s="53"/>
      <c r="N553" s="53"/>
      <c r="O553" s="54"/>
      <c r="P553" s="44"/>
      <c r="Q553" s="78"/>
      <c r="R553" s="78"/>
      <c r="S553" s="78"/>
    </row>
    <row r="554" spans="1:19" ht="18.75" hidden="1">
      <c r="A554" s="53"/>
      <c r="B554" s="53" t="s">
        <v>153</v>
      </c>
      <c r="C554" s="53"/>
      <c r="D554" s="93"/>
      <c r="E554" s="93"/>
      <c r="F554" s="142" t="s">
        <v>154</v>
      </c>
      <c r="G554" s="142"/>
      <c r="H554" s="142"/>
      <c r="I554" s="142"/>
      <c r="J554" s="56"/>
      <c r="K554" s="53"/>
      <c r="L554" s="53"/>
      <c r="M554" s="53"/>
      <c r="N554" s="53"/>
      <c r="O554" s="54"/>
      <c r="P554" s="44"/>
      <c r="Q554" s="78"/>
      <c r="R554" s="78"/>
      <c r="S554" s="78"/>
    </row>
    <row r="555" spans="1:19" ht="18.75" hidden="1">
      <c r="A555" s="53"/>
      <c r="B555" s="53"/>
      <c r="C555" s="53"/>
      <c r="D555" s="56"/>
      <c r="E555" s="56"/>
      <c r="F555" s="56"/>
      <c r="G555" s="56"/>
      <c r="H555" s="56"/>
      <c r="I555" s="53"/>
      <c r="J555" s="53"/>
      <c r="K555" s="53"/>
      <c r="L555" s="53"/>
      <c r="M555" s="53"/>
      <c r="N555" s="53"/>
      <c r="O555" s="54"/>
      <c r="P555" s="44"/>
      <c r="Q555" s="78"/>
      <c r="R555" s="78"/>
      <c r="S555" s="78"/>
    </row>
    <row r="556" spans="1:19" ht="18.75" hidden="1">
      <c r="A556" s="53"/>
      <c r="B556" s="53" t="s">
        <v>382</v>
      </c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4"/>
      <c r="P556" s="44"/>
      <c r="Q556" s="78"/>
      <c r="R556" s="78"/>
      <c r="S556" s="78"/>
    </row>
    <row r="557" spans="1:19" ht="18.75" hidden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4"/>
      <c r="P557" s="44"/>
      <c r="Q557" s="78" t="s">
        <v>318</v>
      </c>
      <c r="R557" s="78">
        <f>R559+R589+R621+R652+R669+R712+R722+R741+R748+R642</f>
        <v>3957459.59</v>
      </c>
      <c r="S557" s="78"/>
    </row>
    <row r="558" spans="1:19" ht="56.25" customHeight="1" hidden="1">
      <c r="A558" s="49" t="s">
        <v>155</v>
      </c>
      <c r="B558" s="232" t="s">
        <v>156</v>
      </c>
      <c r="C558" s="237"/>
      <c r="D558" s="237"/>
      <c r="E558" s="233"/>
      <c r="F558" s="259" t="s">
        <v>157</v>
      </c>
      <c r="G558" s="259"/>
      <c r="H558" s="61" t="s">
        <v>158</v>
      </c>
      <c r="I558" s="61" t="s">
        <v>159</v>
      </c>
      <c r="J558" s="259" t="s">
        <v>160</v>
      </c>
      <c r="K558" s="259"/>
      <c r="L558" s="53"/>
      <c r="M558" s="53"/>
      <c r="N558" s="53"/>
      <c r="O558" s="155"/>
      <c r="P558" s="50"/>
      <c r="Q558" s="78"/>
      <c r="R558" s="78"/>
      <c r="S558" s="78"/>
    </row>
    <row r="559" spans="1:20" ht="21" customHeight="1" hidden="1">
      <c r="A559" s="187">
        <v>1</v>
      </c>
      <c r="B559" s="227">
        <v>2</v>
      </c>
      <c r="C559" s="229"/>
      <c r="D559" s="229"/>
      <c r="E559" s="228"/>
      <c r="F559" s="227">
        <v>3</v>
      </c>
      <c r="G559" s="228"/>
      <c r="H559" s="191">
        <v>4</v>
      </c>
      <c r="I559" s="119">
        <v>5</v>
      </c>
      <c r="J559" s="227">
        <v>6</v>
      </c>
      <c r="K559" s="228"/>
      <c r="L559" s="53"/>
      <c r="M559" s="53"/>
      <c r="N559" s="53"/>
      <c r="O559" s="155"/>
      <c r="P559" s="50"/>
      <c r="Q559" s="78" t="s">
        <v>308</v>
      </c>
      <c r="R559" s="78">
        <f>Q560+Q561</f>
        <v>344278.67</v>
      </c>
      <c r="S559" s="78"/>
      <c r="T559" s="8"/>
    </row>
    <row r="560" spans="1:20" ht="18.75" hidden="1">
      <c r="A560" s="442">
        <v>1</v>
      </c>
      <c r="B560" s="443" t="s">
        <v>161</v>
      </c>
      <c r="C560" s="444"/>
      <c r="D560" s="444"/>
      <c r="E560" s="445"/>
      <c r="F560" s="203">
        <v>211</v>
      </c>
      <c r="G560" s="203"/>
      <c r="H560" s="446">
        <f>J562/I560</f>
        <v>44675</v>
      </c>
      <c r="I560" s="447">
        <v>12</v>
      </c>
      <c r="J560" s="215">
        <f>521700-5000+14400</f>
        <v>531100</v>
      </c>
      <c r="K560" s="215"/>
      <c r="L560" s="53"/>
      <c r="M560" s="53"/>
      <c r="N560" s="53"/>
      <c r="O560" s="54"/>
      <c r="P560" s="44"/>
      <c r="Q560" s="78">
        <v>342784.07</v>
      </c>
      <c r="R560" s="78">
        <f>J560-Q560</f>
        <v>188315.93</v>
      </c>
      <c r="S560" s="78"/>
      <c r="T560" s="80"/>
    </row>
    <row r="561" spans="1:19" ht="18.75" hidden="1">
      <c r="A561" s="448"/>
      <c r="B561" s="449"/>
      <c r="C561" s="450"/>
      <c r="D561" s="450"/>
      <c r="E561" s="451"/>
      <c r="F561" s="201">
        <v>266</v>
      </c>
      <c r="G561" s="202"/>
      <c r="H561" s="452"/>
      <c r="I561" s="453"/>
      <c r="J561" s="209">
        <v>5000</v>
      </c>
      <c r="K561" s="210"/>
      <c r="L561" s="53"/>
      <c r="M561" s="53"/>
      <c r="N561" s="53"/>
      <c r="O561" s="54"/>
      <c r="P561" s="44"/>
      <c r="Q561" s="78">
        <v>1494.6</v>
      </c>
      <c r="R561" s="78">
        <f>J561-Q561</f>
        <v>3505.4</v>
      </c>
      <c r="S561" s="78"/>
    </row>
    <row r="562" spans="1:19" ht="18.75" hidden="1">
      <c r="A562" s="49"/>
      <c r="B562" s="201" t="s">
        <v>130</v>
      </c>
      <c r="C562" s="226"/>
      <c r="D562" s="226"/>
      <c r="E562" s="202"/>
      <c r="F562" s="263"/>
      <c r="G562" s="263"/>
      <c r="H562" s="121" t="s">
        <v>162</v>
      </c>
      <c r="I562" s="122"/>
      <c r="J562" s="215">
        <f>J560+J561</f>
        <v>536100</v>
      </c>
      <c r="K562" s="215"/>
      <c r="L562" s="53"/>
      <c r="M562" s="53"/>
      <c r="N562" s="53"/>
      <c r="O562" s="54"/>
      <c r="P562" s="46"/>
      <c r="Q562" s="78"/>
      <c r="R562" s="78"/>
      <c r="S562" s="78"/>
    </row>
    <row r="563" spans="1:19" ht="18.75" hidden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4"/>
      <c r="P563" s="44"/>
      <c r="Q563" s="78"/>
      <c r="R563" s="78"/>
      <c r="S563" s="78"/>
    </row>
    <row r="564" spans="1:19" ht="18.75" hidden="1">
      <c r="A564" s="53"/>
      <c r="B564" s="53" t="s">
        <v>815</v>
      </c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4"/>
      <c r="P564" s="44"/>
      <c r="Q564" s="78"/>
      <c r="R564" s="78"/>
      <c r="S564" s="78"/>
    </row>
    <row r="565" spans="1:19" ht="18.75" hidden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4"/>
      <c r="P565" s="44"/>
      <c r="Q565" s="78"/>
      <c r="R565" s="78"/>
      <c r="S565" s="78"/>
    </row>
    <row r="566" spans="1:19" ht="56.25" hidden="1">
      <c r="A566" s="49" t="s">
        <v>155</v>
      </c>
      <c r="B566" s="260" t="s">
        <v>156</v>
      </c>
      <c r="C566" s="260"/>
      <c r="D566" s="260"/>
      <c r="E566" s="260"/>
      <c r="F566" s="259" t="s">
        <v>157</v>
      </c>
      <c r="G566" s="259"/>
      <c r="H566" s="211" t="s">
        <v>163</v>
      </c>
      <c r="I566" s="211"/>
      <c r="J566" s="148" t="s">
        <v>164</v>
      </c>
      <c r="K566" s="191" t="s">
        <v>165</v>
      </c>
      <c r="L566" s="186" t="s">
        <v>166</v>
      </c>
      <c r="M566" s="53"/>
      <c r="N566" s="53"/>
      <c r="O566" s="54"/>
      <c r="P566" s="44"/>
      <c r="Q566" s="78"/>
      <c r="R566" s="78"/>
      <c r="S566" s="78"/>
    </row>
    <row r="567" spans="1:19" ht="18.75" hidden="1">
      <c r="A567" s="187">
        <v>1</v>
      </c>
      <c r="B567" s="232">
        <v>2</v>
      </c>
      <c r="C567" s="237"/>
      <c r="D567" s="237"/>
      <c r="E567" s="233"/>
      <c r="F567" s="227">
        <v>3</v>
      </c>
      <c r="G567" s="228"/>
      <c r="H567" s="227">
        <v>4</v>
      </c>
      <c r="I567" s="228"/>
      <c r="J567" s="191">
        <v>5</v>
      </c>
      <c r="K567" s="191">
        <v>6</v>
      </c>
      <c r="L567" s="187">
        <v>7</v>
      </c>
      <c r="M567" s="193"/>
      <c r="N567" s="193"/>
      <c r="O567" s="62"/>
      <c r="P567" s="45"/>
      <c r="Q567" s="78"/>
      <c r="R567" s="78"/>
      <c r="S567" s="78"/>
    </row>
    <row r="568" spans="1:19" ht="18.75" hidden="1">
      <c r="A568" s="49">
        <v>1</v>
      </c>
      <c r="B568" s="265"/>
      <c r="C568" s="265"/>
      <c r="D568" s="265"/>
      <c r="E568" s="265"/>
      <c r="F568" s="203">
        <v>212</v>
      </c>
      <c r="G568" s="203"/>
      <c r="H568" s="209">
        <f>K568/J568</f>
        <v>0</v>
      </c>
      <c r="I568" s="210"/>
      <c r="J568" s="149">
        <v>12</v>
      </c>
      <c r="K568" s="194"/>
      <c r="L568" s="194"/>
      <c r="M568" s="53"/>
      <c r="N568" s="53"/>
      <c r="O568" s="54"/>
      <c r="P568" s="44"/>
      <c r="Q568" s="78"/>
      <c r="R568" s="78"/>
      <c r="S568" s="78"/>
    </row>
    <row r="569" spans="1:19" ht="18.75" hidden="1">
      <c r="A569" s="49"/>
      <c r="B569" s="265" t="s">
        <v>130</v>
      </c>
      <c r="C569" s="265"/>
      <c r="D569" s="265"/>
      <c r="E569" s="265"/>
      <c r="F569" s="203"/>
      <c r="G569" s="203"/>
      <c r="H569" s="265" t="s">
        <v>6</v>
      </c>
      <c r="I569" s="265"/>
      <c r="J569" s="122" t="s">
        <v>6</v>
      </c>
      <c r="K569" s="194" t="s">
        <v>6</v>
      </c>
      <c r="L569" s="194"/>
      <c r="M569" s="53"/>
      <c r="N569" s="53"/>
      <c r="O569" s="54"/>
      <c r="P569" s="46"/>
      <c r="Q569" s="78"/>
      <c r="R569" s="78"/>
      <c r="S569" s="78"/>
    </row>
    <row r="570" spans="1:19" ht="18.75" hidden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4"/>
      <c r="P570" s="44"/>
      <c r="Q570" s="78"/>
      <c r="R570" s="78"/>
      <c r="S570" s="78"/>
    </row>
    <row r="571" spans="1:19" ht="18.75" hidden="1">
      <c r="A571" s="53"/>
      <c r="B571" s="53" t="s">
        <v>816</v>
      </c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4"/>
      <c r="P571" s="44"/>
      <c r="Q571" s="78"/>
      <c r="R571" s="78"/>
      <c r="S571" s="78"/>
    </row>
    <row r="572" spans="1:19" ht="18.75" hidden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4"/>
      <c r="P572" s="44"/>
      <c r="Q572" s="78"/>
      <c r="R572" s="78"/>
      <c r="S572" s="78"/>
    </row>
    <row r="573" spans="1:19" ht="37.5" hidden="1">
      <c r="A573" s="49" t="s">
        <v>155</v>
      </c>
      <c r="B573" s="259" t="s">
        <v>0</v>
      </c>
      <c r="C573" s="259"/>
      <c r="D573" s="259"/>
      <c r="E573" s="259"/>
      <c r="F573" s="259" t="s">
        <v>168</v>
      </c>
      <c r="G573" s="259"/>
      <c r="H573" s="259" t="s">
        <v>188</v>
      </c>
      <c r="I573" s="259"/>
      <c r="J573" s="61" t="s">
        <v>173</v>
      </c>
      <c r="K573" s="53"/>
      <c r="L573" s="53"/>
      <c r="M573" s="53"/>
      <c r="N573" s="53"/>
      <c r="O573" s="54"/>
      <c r="P573" s="44"/>
      <c r="Q573" s="78"/>
      <c r="R573" s="78"/>
      <c r="S573" s="78"/>
    </row>
    <row r="574" spans="1:19" ht="18.75" hidden="1">
      <c r="A574" s="187">
        <v>1</v>
      </c>
      <c r="B574" s="203">
        <v>2</v>
      </c>
      <c r="C574" s="203"/>
      <c r="D574" s="203"/>
      <c r="E574" s="203"/>
      <c r="F574" s="203">
        <v>3</v>
      </c>
      <c r="G574" s="203"/>
      <c r="H574" s="203">
        <v>4</v>
      </c>
      <c r="I574" s="203"/>
      <c r="J574" s="187">
        <v>5</v>
      </c>
      <c r="K574" s="193"/>
      <c r="L574" s="193"/>
      <c r="M574" s="193"/>
      <c r="N574" s="193"/>
      <c r="O574" s="62"/>
      <c r="P574" s="45"/>
      <c r="Q574" s="78"/>
      <c r="R574" s="78"/>
      <c r="S574" s="78"/>
    </row>
    <row r="575" spans="1:19" ht="18.75" hidden="1">
      <c r="A575" s="49">
        <v>1</v>
      </c>
      <c r="B575" s="455" t="s">
        <v>817</v>
      </c>
      <c r="C575" s="455"/>
      <c r="D575" s="455"/>
      <c r="E575" s="455"/>
      <c r="F575" s="203">
        <v>266</v>
      </c>
      <c r="G575" s="203"/>
      <c r="H575" s="203">
        <v>1</v>
      </c>
      <c r="I575" s="203"/>
      <c r="J575" s="52">
        <f>P575</f>
        <v>0</v>
      </c>
      <c r="K575" s="53"/>
      <c r="L575" s="53"/>
      <c r="M575" s="53"/>
      <c r="N575" s="53"/>
      <c r="O575" s="54"/>
      <c r="P575" s="44"/>
      <c r="Q575" s="78"/>
      <c r="R575" s="78"/>
      <c r="S575" s="78"/>
    </row>
    <row r="576" spans="1:19" ht="18.75" hidden="1">
      <c r="A576" s="49">
        <v>2</v>
      </c>
      <c r="B576" s="455" t="s">
        <v>818</v>
      </c>
      <c r="C576" s="455"/>
      <c r="D576" s="455"/>
      <c r="E576" s="455"/>
      <c r="F576" s="203">
        <v>266</v>
      </c>
      <c r="G576" s="203"/>
      <c r="H576" s="203">
        <v>1</v>
      </c>
      <c r="I576" s="203"/>
      <c r="J576" s="52">
        <f>P576</f>
        <v>0</v>
      </c>
      <c r="K576" s="53"/>
      <c r="L576" s="53"/>
      <c r="M576" s="53"/>
      <c r="N576" s="53"/>
      <c r="O576" s="54"/>
      <c r="P576" s="44"/>
      <c r="Q576" s="78"/>
      <c r="R576" s="78"/>
      <c r="S576" s="78"/>
    </row>
    <row r="577" spans="1:19" ht="18.75" hidden="1">
      <c r="A577" s="49"/>
      <c r="B577" s="203" t="s">
        <v>130</v>
      </c>
      <c r="C577" s="203"/>
      <c r="D577" s="203"/>
      <c r="E577" s="203"/>
      <c r="F577" s="263"/>
      <c r="G577" s="263"/>
      <c r="H577" s="203" t="s">
        <v>6</v>
      </c>
      <c r="I577" s="203"/>
      <c r="J577" s="52">
        <f>SUM(J575:J576)</f>
        <v>0</v>
      </c>
      <c r="K577" s="53"/>
      <c r="L577" s="53"/>
      <c r="M577" s="53"/>
      <c r="N577" s="53"/>
      <c r="O577" s="54"/>
      <c r="P577" s="46"/>
      <c r="Q577" s="78"/>
      <c r="R577" s="78"/>
      <c r="S577" s="78"/>
    </row>
    <row r="578" spans="1:19" ht="18.75" hidden="1">
      <c r="A578" s="56"/>
      <c r="B578" s="56"/>
      <c r="C578" s="56"/>
      <c r="D578" s="56"/>
      <c r="E578" s="63"/>
      <c r="F578" s="56"/>
      <c r="G578" s="53"/>
      <c r="H578" s="53"/>
      <c r="I578" s="53"/>
      <c r="J578" s="53"/>
      <c r="K578" s="53"/>
      <c r="L578" s="53"/>
      <c r="M578" s="53"/>
      <c r="N578" s="53"/>
      <c r="O578" s="54"/>
      <c r="P578" s="44"/>
      <c r="Q578" s="78"/>
      <c r="R578" s="78"/>
      <c r="S578" s="78"/>
    </row>
    <row r="579" spans="1:19" ht="18.75" hidden="1">
      <c r="A579" s="53"/>
      <c r="B579" s="53" t="s">
        <v>819</v>
      </c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4"/>
      <c r="P579" s="44"/>
      <c r="Q579" s="78"/>
      <c r="R579" s="78"/>
      <c r="S579" s="78"/>
    </row>
    <row r="580" spans="1:19" ht="18.75" hidden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4"/>
      <c r="P580" s="44"/>
      <c r="Q580" s="78"/>
      <c r="R580" s="78"/>
      <c r="S580" s="78"/>
    </row>
    <row r="581" spans="1:19" ht="75" hidden="1">
      <c r="A581" s="49" t="s">
        <v>155</v>
      </c>
      <c r="B581" s="259" t="s">
        <v>0</v>
      </c>
      <c r="C581" s="259"/>
      <c r="D581" s="259"/>
      <c r="E581" s="259"/>
      <c r="F581" s="259" t="s">
        <v>168</v>
      </c>
      <c r="G581" s="259"/>
      <c r="H581" s="260" t="s">
        <v>174</v>
      </c>
      <c r="I581" s="260"/>
      <c r="J581" s="188" t="s">
        <v>175</v>
      </c>
      <c r="K581" s="188" t="s">
        <v>820</v>
      </c>
      <c r="L581" s="188" t="s">
        <v>177</v>
      </c>
      <c r="M581" s="53"/>
      <c r="N581" s="53"/>
      <c r="O581" s="54"/>
      <c r="P581" s="44"/>
      <c r="Q581" s="78"/>
      <c r="R581" s="78"/>
      <c r="S581" s="78"/>
    </row>
    <row r="582" spans="1:19" ht="18.75" hidden="1">
      <c r="A582" s="187">
        <v>1</v>
      </c>
      <c r="B582" s="203">
        <v>2</v>
      </c>
      <c r="C582" s="203"/>
      <c r="D582" s="203"/>
      <c r="E582" s="203"/>
      <c r="F582" s="203">
        <v>3</v>
      </c>
      <c r="G582" s="203"/>
      <c r="H582" s="203">
        <v>4</v>
      </c>
      <c r="I582" s="203"/>
      <c r="J582" s="187">
        <v>5</v>
      </c>
      <c r="K582" s="187">
        <v>6</v>
      </c>
      <c r="L582" s="187">
        <v>7</v>
      </c>
      <c r="M582" s="193"/>
      <c r="N582" s="193"/>
      <c r="O582" s="62"/>
      <c r="P582" s="45"/>
      <c r="Q582" s="78"/>
      <c r="R582" s="78"/>
      <c r="S582" s="78"/>
    </row>
    <row r="583" spans="1:19" ht="18.75" hidden="1">
      <c r="A583" s="49">
        <v>1</v>
      </c>
      <c r="B583" s="455" t="s">
        <v>178</v>
      </c>
      <c r="C583" s="455"/>
      <c r="D583" s="455"/>
      <c r="E583" s="455"/>
      <c r="F583" s="203">
        <v>266</v>
      </c>
      <c r="G583" s="203"/>
      <c r="H583" s="203">
        <v>1</v>
      </c>
      <c r="I583" s="203"/>
      <c r="J583" s="49">
        <v>12</v>
      </c>
      <c r="K583" s="49">
        <v>50</v>
      </c>
      <c r="L583" s="151"/>
      <c r="M583" s="53"/>
      <c r="N583" s="53"/>
      <c r="O583" s="54"/>
      <c r="P583" s="44"/>
      <c r="Q583" s="78"/>
      <c r="R583" s="78"/>
      <c r="S583" s="78"/>
    </row>
    <row r="584" spans="1:19" ht="18.75" hidden="1">
      <c r="A584" s="49"/>
      <c r="B584" s="203" t="s">
        <v>130</v>
      </c>
      <c r="C584" s="203"/>
      <c r="D584" s="203"/>
      <c r="E584" s="203"/>
      <c r="F584" s="203"/>
      <c r="G584" s="203"/>
      <c r="H584" s="203" t="s">
        <v>172</v>
      </c>
      <c r="I584" s="203"/>
      <c r="J584" s="49" t="s">
        <v>172</v>
      </c>
      <c r="K584" s="49" t="s">
        <v>172</v>
      </c>
      <c r="L584" s="151">
        <f>L583</f>
        <v>0</v>
      </c>
      <c r="M584" s="53"/>
      <c r="N584" s="53"/>
      <c r="O584" s="54"/>
      <c r="P584" s="46"/>
      <c r="Q584" s="78"/>
      <c r="R584" s="78"/>
      <c r="S584" s="78"/>
    </row>
    <row r="585" spans="1:19" ht="18.75" hidden="1">
      <c r="A585" s="56"/>
      <c r="B585" s="56"/>
      <c r="C585" s="56"/>
      <c r="D585" s="56"/>
      <c r="E585" s="63"/>
      <c r="F585" s="56"/>
      <c r="G585" s="53"/>
      <c r="H585" s="53"/>
      <c r="I585" s="53"/>
      <c r="J585" s="53"/>
      <c r="K585" s="53"/>
      <c r="L585" s="53"/>
      <c r="M585" s="53"/>
      <c r="N585" s="53"/>
      <c r="O585" s="54"/>
      <c r="P585" s="44"/>
      <c r="Q585" s="78"/>
      <c r="R585" s="78"/>
      <c r="S585" s="78"/>
    </row>
    <row r="586" spans="1:19" ht="18.75" hidden="1">
      <c r="A586" s="53"/>
      <c r="B586" s="53" t="s">
        <v>821</v>
      </c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4"/>
      <c r="P586" s="44"/>
      <c r="Q586" s="78"/>
      <c r="R586" s="78"/>
      <c r="S586" s="78"/>
    </row>
    <row r="587" spans="1:19" ht="18.75" hidden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4"/>
      <c r="P587" s="44"/>
      <c r="Q587" s="78"/>
      <c r="R587" s="78"/>
      <c r="S587" s="78"/>
    </row>
    <row r="588" spans="1:19" ht="93.75" hidden="1">
      <c r="A588" s="49" t="s">
        <v>155</v>
      </c>
      <c r="B588" s="203" t="s">
        <v>167</v>
      </c>
      <c r="C588" s="203"/>
      <c r="D588" s="203"/>
      <c r="E588" s="203"/>
      <c r="F588" s="259" t="s">
        <v>168</v>
      </c>
      <c r="G588" s="259"/>
      <c r="H588" s="61" t="s">
        <v>169</v>
      </c>
      <c r="I588" s="259" t="s">
        <v>170</v>
      </c>
      <c r="J588" s="259"/>
      <c r="K588" s="53"/>
      <c r="L588" s="53"/>
      <c r="M588" s="53"/>
      <c r="N588" s="53"/>
      <c r="O588" s="54"/>
      <c r="P588" s="44"/>
      <c r="Q588" s="78"/>
      <c r="R588" s="78"/>
      <c r="S588" s="78"/>
    </row>
    <row r="589" spans="1:20" ht="18.75" hidden="1">
      <c r="A589" s="187">
        <v>1</v>
      </c>
      <c r="B589" s="203">
        <v>2</v>
      </c>
      <c r="C589" s="203"/>
      <c r="D589" s="203"/>
      <c r="E589" s="203"/>
      <c r="F589" s="203">
        <v>3</v>
      </c>
      <c r="G589" s="203"/>
      <c r="H589" s="187">
        <v>4</v>
      </c>
      <c r="I589" s="203">
        <v>5</v>
      </c>
      <c r="J589" s="203"/>
      <c r="K589" s="53"/>
      <c r="L589" s="53"/>
      <c r="M589" s="53"/>
      <c r="N589" s="53"/>
      <c r="O589" s="54"/>
      <c r="P589" s="44"/>
      <c r="Q589" s="78" t="s">
        <v>309</v>
      </c>
      <c r="R589" s="78">
        <f>Q590</f>
        <v>101255.81</v>
      </c>
      <c r="S589" s="78"/>
      <c r="T589" s="8"/>
    </row>
    <row r="590" spans="1:21" ht="18.75" customHeight="1" hidden="1">
      <c r="A590" s="49">
        <v>1</v>
      </c>
      <c r="B590" s="204" t="s">
        <v>171</v>
      </c>
      <c r="C590" s="205"/>
      <c r="D590" s="205"/>
      <c r="E590" s="206"/>
      <c r="F590" s="203">
        <v>213</v>
      </c>
      <c r="G590" s="203"/>
      <c r="H590" s="123">
        <v>30.2</v>
      </c>
      <c r="I590" s="215">
        <f>157553.4+4365</f>
        <v>161918.4</v>
      </c>
      <c r="J590" s="215"/>
      <c r="K590" s="53"/>
      <c r="L590" s="53"/>
      <c r="M590" s="53"/>
      <c r="N590" s="53"/>
      <c r="O590" s="54"/>
      <c r="P590" s="44"/>
      <c r="Q590" s="78">
        <v>101255.81</v>
      </c>
      <c r="R590" s="78">
        <f>I590-Q590</f>
        <v>60662.59</v>
      </c>
      <c r="S590" s="78"/>
      <c r="T590" s="80"/>
      <c r="U590" s="80"/>
    </row>
    <row r="591" spans="1:19" ht="18.75" hidden="1">
      <c r="A591" s="49"/>
      <c r="B591" s="203" t="s">
        <v>130</v>
      </c>
      <c r="C591" s="203"/>
      <c r="D591" s="203"/>
      <c r="E591" s="203"/>
      <c r="F591" s="203"/>
      <c r="G591" s="203"/>
      <c r="H591" s="49" t="s">
        <v>172</v>
      </c>
      <c r="I591" s="215">
        <f>SUM(I590:I590)</f>
        <v>161918.4</v>
      </c>
      <c r="J591" s="215"/>
      <c r="K591" s="53"/>
      <c r="L591" s="53"/>
      <c r="M591" s="53"/>
      <c r="N591" s="53"/>
      <c r="O591" s="54"/>
      <c r="P591" s="46"/>
      <c r="Q591" s="78"/>
      <c r="R591" s="78"/>
      <c r="S591" s="78"/>
    </row>
    <row r="592" spans="1:19" ht="18.75">
      <c r="A592" s="56"/>
      <c r="B592" s="55"/>
      <c r="C592" s="55"/>
      <c r="D592" s="55"/>
      <c r="E592" s="55"/>
      <c r="F592" s="55"/>
      <c r="G592" s="55"/>
      <c r="H592" s="56"/>
      <c r="I592" s="146"/>
      <c r="J592" s="146"/>
      <c r="K592" s="53"/>
      <c r="L592" s="53"/>
      <c r="M592" s="53"/>
      <c r="N592" s="53"/>
      <c r="O592" s="54"/>
      <c r="P592" s="46"/>
      <c r="Q592" s="78"/>
      <c r="R592" s="78"/>
      <c r="S592" s="78"/>
    </row>
    <row r="593" spans="1:19" ht="18.75">
      <c r="A593" s="53"/>
      <c r="B593" s="53" t="s">
        <v>822</v>
      </c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4"/>
      <c r="P593" s="46"/>
      <c r="Q593" s="78"/>
      <c r="R593" s="78"/>
      <c r="S593" s="78"/>
    </row>
    <row r="594" spans="1:19" ht="18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4"/>
      <c r="P594" s="46"/>
      <c r="Q594" s="78"/>
      <c r="R594" s="78"/>
      <c r="S594" s="78"/>
    </row>
    <row r="595" spans="1:19" ht="18.75">
      <c r="A595" s="34"/>
      <c r="B595" s="53" t="s">
        <v>179</v>
      </c>
      <c r="C595" s="34"/>
      <c r="D595" s="140">
        <v>247</v>
      </c>
      <c r="E595" s="140"/>
      <c r="F595" s="56"/>
      <c r="G595" s="53"/>
      <c r="H595" s="53"/>
      <c r="I595" s="53"/>
      <c r="J595" s="53"/>
      <c r="K595" s="53"/>
      <c r="L595" s="53"/>
      <c r="M595" s="53"/>
      <c r="N595" s="53"/>
      <c r="O595" s="54"/>
      <c r="P595" s="46"/>
      <c r="Q595" s="78"/>
      <c r="R595" s="78"/>
      <c r="S595" s="78"/>
    </row>
    <row r="596" spans="1:19" ht="18.75">
      <c r="A596" s="34"/>
      <c r="B596" s="53" t="s">
        <v>180</v>
      </c>
      <c r="C596" s="93"/>
      <c r="D596" s="93"/>
      <c r="E596" s="140" t="s">
        <v>154</v>
      </c>
      <c r="F596" s="140"/>
      <c r="G596" s="140"/>
      <c r="H596" s="140"/>
      <c r="I596" s="140"/>
      <c r="J596" s="140"/>
      <c r="K596" s="53"/>
      <c r="L596" s="53"/>
      <c r="M596" s="53"/>
      <c r="N596" s="53"/>
      <c r="O596" s="54"/>
      <c r="P596" s="46"/>
      <c r="Q596" s="78"/>
      <c r="R596" s="78"/>
      <c r="S596" s="78"/>
    </row>
    <row r="597" spans="1:19" ht="18.75">
      <c r="A597" s="56"/>
      <c r="B597" s="55"/>
      <c r="C597" s="55"/>
      <c r="D597" s="55"/>
      <c r="E597" s="55"/>
      <c r="F597" s="55"/>
      <c r="G597" s="55"/>
      <c r="H597" s="56"/>
      <c r="I597" s="146"/>
      <c r="J597" s="146"/>
      <c r="K597" s="53"/>
      <c r="L597" s="53"/>
      <c r="M597" s="53"/>
      <c r="N597" s="53"/>
      <c r="O597" s="54"/>
      <c r="P597" s="46"/>
      <c r="Q597" s="78"/>
      <c r="R597" s="78"/>
      <c r="S597" s="78"/>
    </row>
    <row r="598" spans="1:19" ht="18.75" hidden="1">
      <c r="A598" s="53"/>
      <c r="B598" s="53" t="s">
        <v>192</v>
      </c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4"/>
      <c r="P598" s="44"/>
      <c r="Q598" s="78"/>
      <c r="R598" s="78"/>
      <c r="S598" s="78"/>
    </row>
    <row r="599" spans="1:19" ht="18.75" hidden="1">
      <c r="A599" s="35"/>
      <c r="B599" s="53" t="s">
        <v>179</v>
      </c>
      <c r="C599" s="56"/>
      <c r="D599" s="140">
        <v>244</v>
      </c>
      <c r="E599" s="140"/>
      <c r="F599" s="56"/>
      <c r="G599" s="56"/>
      <c r="H599" s="53"/>
      <c r="I599" s="53"/>
      <c r="J599" s="53"/>
      <c r="K599" s="53"/>
      <c r="L599" s="53"/>
      <c r="M599" s="53"/>
      <c r="N599" s="53"/>
      <c r="O599" s="54"/>
      <c r="P599" s="44"/>
      <c r="Q599" s="78"/>
      <c r="R599" s="78"/>
      <c r="S599" s="78"/>
    </row>
    <row r="600" spans="1:19" ht="18.75" hidden="1">
      <c r="A600" s="35"/>
      <c r="B600" s="53" t="s">
        <v>180</v>
      </c>
      <c r="C600" s="53"/>
      <c r="D600" s="93"/>
      <c r="E600" s="56"/>
      <c r="F600" s="140" t="s">
        <v>154</v>
      </c>
      <c r="G600" s="140"/>
      <c r="H600" s="140"/>
      <c r="I600" s="140"/>
      <c r="J600" s="140"/>
      <c r="K600" s="140"/>
      <c r="L600" s="53"/>
      <c r="M600" s="53"/>
      <c r="N600" s="53"/>
      <c r="O600" s="54"/>
      <c r="P600" s="44"/>
      <c r="Q600" s="78"/>
      <c r="R600" s="78"/>
      <c r="S600" s="78"/>
    </row>
    <row r="601" spans="1:19" ht="18.75" hidden="1">
      <c r="A601" s="56"/>
      <c r="B601" s="56"/>
      <c r="C601" s="56"/>
      <c r="D601" s="56"/>
      <c r="E601" s="56"/>
      <c r="F601" s="56"/>
      <c r="G601" s="152"/>
      <c r="H601" s="53"/>
      <c r="I601" s="53"/>
      <c r="J601" s="53"/>
      <c r="K601" s="53"/>
      <c r="L601" s="53"/>
      <c r="M601" s="53"/>
      <c r="N601" s="53"/>
      <c r="O601" s="54"/>
      <c r="P601" s="46"/>
      <c r="Q601" s="78"/>
      <c r="R601" s="78"/>
      <c r="S601" s="78"/>
    </row>
    <row r="602" spans="1:19" ht="56.25" hidden="1">
      <c r="A602" s="49" t="s">
        <v>155</v>
      </c>
      <c r="B602" s="201" t="s">
        <v>0</v>
      </c>
      <c r="C602" s="226"/>
      <c r="D602" s="226"/>
      <c r="E602" s="202"/>
      <c r="F602" s="227" t="s">
        <v>168</v>
      </c>
      <c r="G602" s="228"/>
      <c r="H602" s="61" t="s">
        <v>181</v>
      </c>
      <c r="I602" s="61" t="s">
        <v>182</v>
      </c>
      <c r="J602" s="61" t="s">
        <v>183</v>
      </c>
      <c r="K602" s="53"/>
      <c r="L602" s="53"/>
      <c r="M602" s="53"/>
      <c r="N602" s="53"/>
      <c r="O602" s="54"/>
      <c r="P602" s="46"/>
      <c r="Q602" s="78"/>
      <c r="R602" s="78"/>
      <c r="S602" s="78"/>
    </row>
    <row r="603" spans="1:19" ht="18.75" hidden="1">
      <c r="A603" s="187">
        <v>1</v>
      </c>
      <c r="B603" s="201">
        <v>2</v>
      </c>
      <c r="C603" s="226"/>
      <c r="D603" s="226"/>
      <c r="E603" s="202"/>
      <c r="F603" s="201">
        <v>3</v>
      </c>
      <c r="G603" s="202"/>
      <c r="H603" s="187">
        <v>4</v>
      </c>
      <c r="I603" s="187">
        <v>5</v>
      </c>
      <c r="J603" s="187">
        <v>6</v>
      </c>
      <c r="K603" s="193"/>
      <c r="L603" s="193"/>
      <c r="M603" s="193"/>
      <c r="N603" s="193"/>
      <c r="O603" s="62"/>
      <c r="P603" s="47"/>
      <c r="Q603" s="78"/>
      <c r="R603" s="78"/>
      <c r="S603" s="78"/>
    </row>
    <row r="604" spans="1:19" ht="18.75" hidden="1">
      <c r="A604" s="49"/>
      <c r="B604" s="201"/>
      <c r="C604" s="226"/>
      <c r="D604" s="226"/>
      <c r="E604" s="202"/>
      <c r="F604" s="201"/>
      <c r="G604" s="202"/>
      <c r="H604" s="49"/>
      <c r="I604" s="49"/>
      <c r="J604" s="49"/>
      <c r="K604" s="53"/>
      <c r="L604" s="53"/>
      <c r="M604" s="53"/>
      <c r="N604" s="53"/>
      <c r="O604" s="54"/>
      <c r="P604" s="46"/>
      <c r="Q604" s="78"/>
      <c r="R604" s="78"/>
      <c r="S604" s="78"/>
    </row>
    <row r="605" spans="1:19" ht="18.75" hidden="1">
      <c r="A605" s="49"/>
      <c r="B605" s="253" t="s">
        <v>184</v>
      </c>
      <c r="C605" s="254"/>
      <c r="D605" s="254"/>
      <c r="E605" s="255"/>
      <c r="F605" s="201"/>
      <c r="G605" s="202"/>
      <c r="H605" s="49" t="s">
        <v>6</v>
      </c>
      <c r="I605" s="49" t="s">
        <v>6</v>
      </c>
      <c r="J605" s="49"/>
      <c r="K605" s="53"/>
      <c r="L605" s="53"/>
      <c r="M605" s="53"/>
      <c r="N605" s="53"/>
      <c r="O605" s="54"/>
      <c r="P605" s="46"/>
      <c r="Q605" s="78"/>
      <c r="R605" s="78"/>
      <c r="S605" s="78"/>
    </row>
    <row r="606" spans="1:19" ht="18.75" hidden="1">
      <c r="A606" s="53"/>
      <c r="B606" s="53" t="s">
        <v>193</v>
      </c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4"/>
      <c r="P606" s="44"/>
      <c r="Q606" s="78"/>
      <c r="R606" s="78"/>
      <c r="S606" s="78"/>
    </row>
    <row r="607" spans="1:19" ht="18.75" hidden="1">
      <c r="A607" s="35"/>
      <c r="B607" s="53" t="s">
        <v>179</v>
      </c>
      <c r="C607" s="53"/>
      <c r="D607" s="140">
        <v>244</v>
      </c>
      <c r="E607" s="140"/>
      <c r="F607" s="140"/>
      <c r="G607" s="56"/>
      <c r="H607" s="53"/>
      <c r="I607" s="53"/>
      <c r="J607" s="53"/>
      <c r="K607" s="53"/>
      <c r="L607" s="53"/>
      <c r="M607" s="53"/>
      <c r="N607" s="53"/>
      <c r="O607" s="54"/>
      <c r="P607" s="44"/>
      <c r="Q607" s="78"/>
      <c r="R607" s="78"/>
      <c r="S607" s="78"/>
    </row>
    <row r="608" spans="1:19" ht="18.75" hidden="1">
      <c r="A608" s="35"/>
      <c r="B608" s="53" t="s">
        <v>153</v>
      </c>
      <c r="C608" s="53"/>
      <c r="D608" s="93"/>
      <c r="E608" s="93"/>
      <c r="F608" s="142" t="s">
        <v>154</v>
      </c>
      <c r="G608" s="56"/>
      <c r="H608" s="53"/>
      <c r="I608" s="53"/>
      <c r="J608" s="53"/>
      <c r="K608" s="53"/>
      <c r="L608" s="53"/>
      <c r="M608" s="53"/>
      <c r="N608" s="53"/>
      <c r="O608" s="54"/>
      <c r="P608" s="44"/>
      <c r="Q608" s="78"/>
      <c r="R608" s="78"/>
      <c r="S608" s="78"/>
    </row>
    <row r="609" spans="1:19" ht="18.75" hidden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4"/>
      <c r="P609" s="44"/>
      <c r="Q609" s="78"/>
      <c r="R609" s="78"/>
      <c r="S609" s="78"/>
    </row>
    <row r="610" spans="1:19" ht="18.75" hidden="1">
      <c r="A610" s="53"/>
      <c r="B610" s="53" t="s">
        <v>194</v>
      </c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4"/>
      <c r="P610" s="44"/>
      <c r="Q610" s="78"/>
      <c r="R610" s="78"/>
      <c r="S610" s="78"/>
    </row>
    <row r="611" spans="1:19" ht="18.75" hidden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4"/>
      <c r="P611" s="44"/>
      <c r="Q611" s="78"/>
      <c r="R611" s="78"/>
      <c r="S611" s="78"/>
    </row>
    <row r="612" spans="1:19" ht="75" hidden="1">
      <c r="A612" s="49" t="s">
        <v>155</v>
      </c>
      <c r="B612" s="259" t="s">
        <v>156</v>
      </c>
      <c r="C612" s="259"/>
      <c r="D612" s="61" t="s">
        <v>168</v>
      </c>
      <c r="E612" s="259" t="s">
        <v>195</v>
      </c>
      <c r="F612" s="259"/>
      <c r="G612" s="259" t="s">
        <v>196</v>
      </c>
      <c r="H612" s="259"/>
      <c r="I612" s="61" t="s">
        <v>197</v>
      </c>
      <c r="J612" s="61" t="s">
        <v>177</v>
      </c>
      <c r="K612" s="53"/>
      <c r="L612" s="53"/>
      <c r="M612" s="53"/>
      <c r="N612" s="53"/>
      <c r="O612" s="54"/>
      <c r="P612" s="44"/>
      <c r="Q612" s="78"/>
      <c r="R612" s="78"/>
      <c r="S612" s="78"/>
    </row>
    <row r="613" spans="1:19" ht="18.75" hidden="1">
      <c r="A613" s="187">
        <v>1</v>
      </c>
      <c r="B613" s="203">
        <v>2</v>
      </c>
      <c r="C613" s="203"/>
      <c r="D613" s="187">
        <v>3</v>
      </c>
      <c r="E613" s="203">
        <v>4</v>
      </c>
      <c r="F613" s="203"/>
      <c r="G613" s="203">
        <v>5</v>
      </c>
      <c r="H613" s="203"/>
      <c r="I613" s="187">
        <v>6</v>
      </c>
      <c r="J613" s="187">
        <v>7</v>
      </c>
      <c r="K613" s="53"/>
      <c r="L613" s="53"/>
      <c r="M613" s="53"/>
      <c r="N613" s="53"/>
      <c r="O613" s="54"/>
      <c r="P613" s="44"/>
      <c r="Q613" s="78"/>
      <c r="R613" s="78"/>
      <c r="S613" s="78"/>
    </row>
    <row r="614" spans="1:19" ht="18.75" hidden="1">
      <c r="A614" s="49">
        <v>1</v>
      </c>
      <c r="B614" s="203" t="s">
        <v>198</v>
      </c>
      <c r="C614" s="203"/>
      <c r="D614" s="187">
        <v>221</v>
      </c>
      <c r="E614" s="203">
        <v>2</v>
      </c>
      <c r="F614" s="203"/>
      <c r="G614" s="203">
        <v>12</v>
      </c>
      <c r="H614" s="203"/>
      <c r="I614" s="156">
        <f>J614/G614</f>
        <v>0</v>
      </c>
      <c r="J614" s="52"/>
      <c r="K614" s="53"/>
      <c r="L614" s="53"/>
      <c r="M614" s="53"/>
      <c r="N614" s="53"/>
      <c r="O614" s="54"/>
      <c r="P614" s="44"/>
      <c r="Q614" s="78"/>
      <c r="R614" s="78"/>
      <c r="S614" s="78"/>
    </row>
    <row r="615" spans="1:19" ht="18.75" hidden="1">
      <c r="A615" s="49">
        <v>2</v>
      </c>
      <c r="B615" s="203" t="s">
        <v>199</v>
      </c>
      <c r="C615" s="203"/>
      <c r="D615" s="187">
        <v>221</v>
      </c>
      <c r="E615" s="203">
        <v>1</v>
      </c>
      <c r="F615" s="203"/>
      <c r="G615" s="203">
        <v>12</v>
      </c>
      <c r="H615" s="203"/>
      <c r="I615" s="49">
        <f>ROUND(J615/G615,2)</f>
        <v>0</v>
      </c>
      <c r="J615" s="52"/>
      <c r="K615" s="53"/>
      <c r="L615" s="53"/>
      <c r="M615" s="53"/>
      <c r="N615" s="53"/>
      <c r="O615" s="54"/>
      <c r="P615" s="44"/>
      <c r="Q615" s="78"/>
      <c r="R615" s="78"/>
      <c r="S615" s="78"/>
    </row>
    <row r="616" spans="1:19" ht="18.75" hidden="1">
      <c r="A616" s="49"/>
      <c r="B616" s="203" t="s">
        <v>200</v>
      </c>
      <c r="C616" s="203"/>
      <c r="D616" s="187"/>
      <c r="E616" s="203" t="s">
        <v>172</v>
      </c>
      <c r="F616" s="203"/>
      <c r="G616" s="203" t="s">
        <v>172</v>
      </c>
      <c r="H616" s="203"/>
      <c r="I616" s="49" t="s">
        <v>172</v>
      </c>
      <c r="J616" s="52">
        <f>SUM(J614:J615)</f>
        <v>0</v>
      </c>
      <c r="K616" s="53"/>
      <c r="L616" s="53"/>
      <c r="M616" s="53"/>
      <c r="N616" s="53"/>
      <c r="O616" s="54"/>
      <c r="P616" s="51"/>
      <c r="Q616" s="78"/>
      <c r="R616" s="78"/>
      <c r="S616" s="78"/>
    </row>
    <row r="617" spans="1:19" ht="18.75" hidden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4"/>
      <c r="P617" s="44"/>
      <c r="Q617" s="78"/>
      <c r="R617" s="78"/>
      <c r="S617" s="78"/>
    </row>
    <row r="618" spans="1:19" ht="18.75">
      <c r="A618" s="53"/>
      <c r="B618" s="53" t="s">
        <v>383</v>
      </c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4"/>
      <c r="P618" s="44"/>
      <c r="Q618" s="78"/>
      <c r="R618" s="78"/>
      <c r="S618" s="78"/>
    </row>
    <row r="619" spans="1:19" ht="18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4"/>
      <c r="P619" s="44"/>
      <c r="Q619" s="78"/>
      <c r="R619" s="78"/>
      <c r="S619" s="78"/>
    </row>
    <row r="620" spans="1:19" ht="56.25" customHeight="1">
      <c r="A620" s="49" t="s">
        <v>155</v>
      </c>
      <c r="B620" s="259" t="s">
        <v>0</v>
      </c>
      <c r="C620" s="259"/>
      <c r="D620" s="259"/>
      <c r="E620" s="259" t="s">
        <v>168</v>
      </c>
      <c r="F620" s="259"/>
      <c r="G620" s="259" t="s">
        <v>201</v>
      </c>
      <c r="H620" s="259"/>
      <c r="I620" s="61" t="s">
        <v>202</v>
      </c>
      <c r="J620" s="61" t="s">
        <v>203</v>
      </c>
      <c r="K620" s="61" t="s">
        <v>177</v>
      </c>
      <c r="L620" s="53"/>
      <c r="M620" s="53"/>
      <c r="N620" s="53"/>
      <c r="O620" s="54"/>
      <c r="P620" s="44"/>
      <c r="Q620" s="78"/>
      <c r="R620" s="78"/>
      <c r="S620" s="78"/>
    </row>
    <row r="621" spans="1:19" ht="18.75">
      <c r="A621" s="187">
        <v>1</v>
      </c>
      <c r="B621" s="203">
        <v>2</v>
      </c>
      <c r="C621" s="203"/>
      <c r="D621" s="203"/>
      <c r="E621" s="203">
        <v>3</v>
      </c>
      <c r="F621" s="203"/>
      <c r="G621" s="203">
        <v>4</v>
      </c>
      <c r="H621" s="203"/>
      <c r="I621" s="187">
        <v>5</v>
      </c>
      <c r="J621" s="187">
        <v>6</v>
      </c>
      <c r="K621" s="187">
        <v>7</v>
      </c>
      <c r="L621" s="53"/>
      <c r="M621" s="53"/>
      <c r="N621" s="53"/>
      <c r="O621" s="54"/>
      <c r="P621" s="44"/>
      <c r="Q621" s="78" t="s">
        <v>314</v>
      </c>
      <c r="R621" s="78">
        <f>Q622+Q623</f>
        <v>1885966.77</v>
      </c>
      <c r="S621" s="78"/>
    </row>
    <row r="622" spans="1:21" ht="18.75" customHeight="1">
      <c r="A622" s="49">
        <v>1</v>
      </c>
      <c r="B622" s="274" t="s">
        <v>237</v>
      </c>
      <c r="C622" s="274"/>
      <c r="D622" s="274"/>
      <c r="E622" s="203">
        <v>223</v>
      </c>
      <c r="F622" s="203"/>
      <c r="G622" s="275">
        <v>625.71</v>
      </c>
      <c r="H622" s="275"/>
      <c r="I622" s="52">
        <v>2966.5</v>
      </c>
      <c r="J622" s="49"/>
      <c r="K622" s="52">
        <f>ROUND(G622*I622,2)-242468.72-170000-12384-100000-19800-4304.2-28945.44+150000+157019.78-12734.14-82348.55-8660.71-226555.44+15306.23</f>
        <v>1270293.5300000003</v>
      </c>
      <c r="L622" s="53"/>
      <c r="M622" s="53"/>
      <c r="N622" s="53"/>
      <c r="O622" s="54"/>
      <c r="P622" s="44"/>
      <c r="Q622" s="78">
        <f>122828.57+200000+46140.23+710329.85+190994.88</f>
        <v>1270293.5299999998</v>
      </c>
      <c r="R622" s="78">
        <f>K622-Q622</f>
        <v>0</v>
      </c>
      <c r="S622" s="78"/>
      <c r="T622" s="80"/>
      <c r="U622" s="80"/>
    </row>
    <row r="623" spans="1:21" ht="18.75" customHeight="1">
      <c r="A623" s="49">
        <v>4</v>
      </c>
      <c r="B623" s="274" t="s">
        <v>204</v>
      </c>
      <c r="C623" s="274"/>
      <c r="D623" s="274"/>
      <c r="E623" s="203">
        <v>223</v>
      </c>
      <c r="F623" s="203"/>
      <c r="G623" s="275">
        <v>148.902</v>
      </c>
      <c r="H623" s="275"/>
      <c r="I623" s="52">
        <v>9364.99</v>
      </c>
      <c r="J623" s="49"/>
      <c r="K623" s="52">
        <f>ROUND(G623*I623*1000,2)/1000-119665.74-202223.42-212500-1715.53-3016.23+82348.55-113526.37-15306.23</f>
        <v>808860.7709800001</v>
      </c>
      <c r="L623" s="53"/>
      <c r="M623" s="53"/>
      <c r="N623" s="53"/>
      <c r="O623" s="54"/>
      <c r="P623" s="44"/>
      <c r="Q623" s="78">
        <f>162372.26+83485.31+19714.44+29957.68+46445.86+27544.19+54281.19+49956.14+15573.34+9184.69+69207.61+47950.53</f>
        <v>615673.2400000001</v>
      </c>
      <c r="R623" s="78">
        <f>K623-Q623</f>
        <v>193187.53098000004</v>
      </c>
      <c r="S623" s="78"/>
      <c r="T623" s="80"/>
      <c r="U623" s="80"/>
    </row>
    <row r="624" spans="1:20" ht="18.75">
      <c r="A624" s="49"/>
      <c r="B624" s="201" t="s">
        <v>130</v>
      </c>
      <c r="C624" s="226"/>
      <c r="D624" s="202"/>
      <c r="E624" s="203"/>
      <c r="F624" s="203"/>
      <c r="G624" s="203" t="s">
        <v>172</v>
      </c>
      <c r="H624" s="203"/>
      <c r="I624" s="49" t="s">
        <v>172</v>
      </c>
      <c r="J624" s="49" t="s">
        <v>172</v>
      </c>
      <c r="K624" s="52">
        <f>SUM(K622:K623)</f>
        <v>2079154.3009800003</v>
      </c>
      <c r="L624" s="53"/>
      <c r="M624" s="53"/>
      <c r="N624" s="53"/>
      <c r="O624" s="54"/>
      <c r="P624" s="47"/>
      <c r="Q624" s="78"/>
      <c r="R624" s="78"/>
      <c r="S624" s="78"/>
      <c r="T624" s="80"/>
    </row>
    <row r="625" spans="1:19" ht="18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4"/>
      <c r="P625" s="44"/>
      <c r="Q625" s="78"/>
      <c r="R625" s="78"/>
      <c r="S625" s="78"/>
    </row>
    <row r="626" spans="1:19" ht="18.75" hidden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4"/>
      <c r="P626" s="44"/>
      <c r="Q626" s="78"/>
      <c r="R626" s="78"/>
      <c r="S626" s="78"/>
    </row>
    <row r="627" spans="1:19" ht="18.75" hidden="1">
      <c r="A627" s="53"/>
      <c r="B627" s="53" t="s">
        <v>230</v>
      </c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4"/>
      <c r="P627" s="44"/>
      <c r="Q627" s="78"/>
      <c r="R627" s="78"/>
      <c r="S627" s="78"/>
    </row>
    <row r="628" spans="1:19" ht="18.75" hidden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4"/>
      <c r="P628" s="44"/>
      <c r="Q628" s="78"/>
      <c r="R628" s="78"/>
      <c r="S628" s="78"/>
    </row>
    <row r="629" spans="1:19" ht="56.25" hidden="1">
      <c r="A629" s="49" t="s">
        <v>155</v>
      </c>
      <c r="B629" s="259" t="s">
        <v>0</v>
      </c>
      <c r="C629" s="259"/>
      <c r="D629" s="259"/>
      <c r="E629" s="259" t="s">
        <v>168</v>
      </c>
      <c r="F629" s="259"/>
      <c r="G629" s="259" t="s">
        <v>189</v>
      </c>
      <c r="H629" s="259"/>
      <c r="I629" s="61" t="s">
        <v>207</v>
      </c>
      <c r="J629" s="61" t="s">
        <v>208</v>
      </c>
      <c r="K629" s="53"/>
      <c r="L629" s="53"/>
      <c r="M629" s="53"/>
      <c r="N629" s="53"/>
      <c r="O629" s="54"/>
      <c r="P629" s="44"/>
      <c r="Q629" s="78"/>
      <c r="R629" s="78"/>
      <c r="S629" s="78"/>
    </row>
    <row r="630" spans="1:19" ht="18.75" hidden="1">
      <c r="A630" s="187">
        <v>1</v>
      </c>
      <c r="B630" s="203">
        <v>2</v>
      </c>
      <c r="C630" s="203"/>
      <c r="D630" s="203"/>
      <c r="E630" s="203">
        <v>3</v>
      </c>
      <c r="F630" s="203"/>
      <c r="G630" s="203">
        <v>4</v>
      </c>
      <c r="H630" s="203"/>
      <c r="I630" s="187">
        <v>5</v>
      </c>
      <c r="J630" s="187">
        <v>6</v>
      </c>
      <c r="K630" s="53"/>
      <c r="L630" s="53"/>
      <c r="M630" s="53"/>
      <c r="N630" s="53"/>
      <c r="O630" s="54"/>
      <c r="P630" s="44"/>
      <c r="Q630" s="78"/>
      <c r="R630" s="78"/>
      <c r="S630" s="78"/>
    </row>
    <row r="631" spans="1:19" ht="18.75" hidden="1">
      <c r="A631" s="49"/>
      <c r="B631" s="201"/>
      <c r="C631" s="226"/>
      <c r="D631" s="202"/>
      <c r="E631" s="203"/>
      <c r="F631" s="203"/>
      <c r="G631" s="203"/>
      <c r="H631" s="203"/>
      <c r="I631" s="49"/>
      <c r="J631" s="49"/>
      <c r="K631" s="53"/>
      <c r="L631" s="53"/>
      <c r="M631" s="53"/>
      <c r="N631" s="53"/>
      <c r="O631" s="54"/>
      <c r="P631" s="44"/>
      <c r="Q631" s="78"/>
      <c r="R631" s="78"/>
      <c r="S631" s="78"/>
    </row>
    <row r="632" spans="1:19" ht="18.75" hidden="1">
      <c r="A632" s="49"/>
      <c r="B632" s="203" t="s">
        <v>130</v>
      </c>
      <c r="C632" s="203"/>
      <c r="D632" s="203"/>
      <c r="E632" s="203"/>
      <c r="F632" s="203"/>
      <c r="G632" s="203" t="s">
        <v>6</v>
      </c>
      <c r="H632" s="203"/>
      <c r="I632" s="49" t="s">
        <v>6</v>
      </c>
      <c r="J632" s="49">
        <f>J631</f>
        <v>0</v>
      </c>
      <c r="K632" s="53"/>
      <c r="L632" s="53"/>
      <c r="M632" s="53"/>
      <c r="N632" s="53"/>
      <c r="O632" s="54"/>
      <c r="P632" s="44"/>
      <c r="Q632" s="78"/>
      <c r="R632" s="78"/>
      <c r="S632" s="78"/>
    </row>
    <row r="633" spans="1:19" ht="18.75" hidden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4"/>
      <c r="P633" s="44"/>
      <c r="Q633" s="78"/>
      <c r="R633" s="78"/>
      <c r="S633" s="78"/>
    </row>
    <row r="634" spans="1:19" ht="18.75">
      <c r="A634" s="53"/>
      <c r="B634" s="53" t="s">
        <v>400</v>
      </c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4"/>
      <c r="P634" s="44"/>
      <c r="Q634" s="78"/>
      <c r="R634" s="78"/>
      <c r="S634" s="78"/>
    </row>
    <row r="635" spans="1:19" ht="18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4"/>
      <c r="P635" s="44"/>
      <c r="Q635" s="78"/>
      <c r="R635" s="78"/>
      <c r="S635" s="78"/>
    </row>
    <row r="636" spans="1:19" ht="18.75">
      <c r="A636" s="34"/>
      <c r="B636" s="53" t="s">
        <v>179</v>
      </c>
      <c r="C636" s="34"/>
      <c r="D636" s="140">
        <v>244</v>
      </c>
      <c r="E636" s="140"/>
      <c r="F636" s="56"/>
      <c r="G636" s="53"/>
      <c r="H636" s="53"/>
      <c r="I636" s="53"/>
      <c r="J636" s="53"/>
      <c r="K636" s="53"/>
      <c r="L636" s="53"/>
      <c r="M636" s="53"/>
      <c r="N636" s="53"/>
      <c r="O636" s="54"/>
      <c r="P636" s="44"/>
      <c r="Q636" s="78"/>
      <c r="R636" s="78"/>
      <c r="S636" s="78"/>
    </row>
    <row r="637" spans="1:19" ht="18.75">
      <c r="A637" s="34"/>
      <c r="B637" s="53" t="s">
        <v>180</v>
      </c>
      <c r="C637" s="93"/>
      <c r="D637" s="93"/>
      <c r="E637" s="140" t="s">
        <v>154</v>
      </c>
      <c r="F637" s="140"/>
      <c r="G637" s="140"/>
      <c r="H637" s="140"/>
      <c r="I637" s="140"/>
      <c r="J637" s="140"/>
      <c r="K637" s="53"/>
      <c r="L637" s="53"/>
      <c r="M637" s="53"/>
      <c r="N637" s="53"/>
      <c r="O637" s="54"/>
      <c r="P637" s="44"/>
      <c r="Q637" s="78"/>
      <c r="R637" s="78"/>
      <c r="S637" s="78"/>
    </row>
    <row r="638" spans="1:19" ht="18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4"/>
      <c r="P638" s="44"/>
      <c r="Q638" s="78"/>
      <c r="R638" s="78"/>
      <c r="S638" s="78"/>
    </row>
    <row r="639" spans="1:19" ht="18.75">
      <c r="A639" s="53"/>
      <c r="B639" s="53" t="s">
        <v>418</v>
      </c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4"/>
      <c r="P639" s="44"/>
      <c r="Q639" s="78"/>
      <c r="R639" s="78"/>
      <c r="S639" s="78"/>
    </row>
    <row r="640" spans="1:19" ht="18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4"/>
      <c r="P640" s="44"/>
      <c r="Q640" s="78"/>
      <c r="R640" s="78"/>
      <c r="S640" s="78"/>
    </row>
    <row r="641" spans="1:19" ht="56.25">
      <c r="A641" s="49" t="s">
        <v>155</v>
      </c>
      <c r="B641" s="259" t="s">
        <v>0</v>
      </c>
      <c r="C641" s="259"/>
      <c r="D641" s="259"/>
      <c r="E641" s="259" t="s">
        <v>168</v>
      </c>
      <c r="F641" s="259"/>
      <c r="G641" s="259" t="s">
        <v>201</v>
      </c>
      <c r="H641" s="259"/>
      <c r="I641" s="61" t="s">
        <v>202</v>
      </c>
      <c r="J641" s="61" t="s">
        <v>203</v>
      </c>
      <c r="K641" s="61" t="s">
        <v>177</v>
      </c>
      <c r="L641" s="53"/>
      <c r="M641" s="53"/>
      <c r="N641" s="53"/>
      <c r="O641" s="54"/>
      <c r="P641" s="44"/>
      <c r="Q641" s="78"/>
      <c r="R641" s="78"/>
      <c r="S641" s="78"/>
    </row>
    <row r="642" spans="1:19" ht="18.75">
      <c r="A642" s="187">
        <v>1</v>
      </c>
      <c r="B642" s="203">
        <v>2</v>
      </c>
      <c r="C642" s="203"/>
      <c r="D642" s="203"/>
      <c r="E642" s="203">
        <v>3</v>
      </c>
      <c r="F642" s="203"/>
      <c r="G642" s="203">
        <v>4</v>
      </c>
      <c r="H642" s="203"/>
      <c r="I642" s="187">
        <v>5</v>
      </c>
      <c r="J642" s="187">
        <v>6</v>
      </c>
      <c r="K642" s="187">
        <v>7</v>
      </c>
      <c r="L642" s="53"/>
      <c r="M642" s="53"/>
      <c r="N642" s="53"/>
      <c r="O642" s="54"/>
      <c r="P642" s="44"/>
      <c r="Q642" s="78" t="s">
        <v>314</v>
      </c>
      <c r="R642" s="78">
        <f>Q645+Q643</f>
        <v>83833.42000000001</v>
      </c>
      <c r="S642" s="78"/>
    </row>
    <row r="643" spans="1:19" ht="18.75">
      <c r="A643" s="49">
        <v>1</v>
      </c>
      <c r="B643" s="250" t="s">
        <v>238</v>
      </c>
      <c r="C643" s="251"/>
      <c r="D643" s="252"/>
      <c r="E643" s="203">
        <v>223</v>
      </c>
      <c r="F643" s="203"/>
      <c r="G643" s="248">
        <v>22.774</v>
      </c>
      <c r="H643" s="249"/>
      <c r="I643" s="52">
        <v>2966.5</v>
      </c>
      <c r="J643" s="49"/>
      <c r="K643" s="52">
        <f>ROUND(G643*I643,2)-2128.51</f>
        <v>65430.560000000005</v>
      </c>
      <c r="L643" s="53"/>
      <c r="M643" s="53"/>
      <c r="N643" s="53"/>
      <c r="O643" s="54"/>
      <c r="P643" s="44"/>
      <c r="Q643" s="78">
        <f>3859.77+10836.94+8404.27+58.99</f>
        <v>23159.970000000005</v>
      </c>
      <c r="R643" s="78">
        <f>K643+K644-Q643</f>
        <v>57340.03</v>
      </c>
      <c r="S643" s="78"/>
    </row>
    <row r="644" spans="1:19" ht="18.75">
      <c r="A644" s="49">
        <v>2</v>
      </c>
      <c r="B644" s="250" t="s">
        <v>238</v>
      </c>
      <c r="C644" s="251"/>
      <c r="D644" s="252"/>
      <c r="E644" s="203">
        <v>223</v>
      </c>
      <c r="F644" s="203"/>
      <c r="G644" s="248">
        <v>386</v>
      </c>
      <c r="H644" s="249"/>
      <c r="I644" s="52">
        <v>39.04</v>
      </c>
      <c r="J644" s="49"/>
      <c r="K644" s="52">
        <f>ROUND(G644*I644,2)</f>
        <v>15069.44</v>
      </c>
      <c r="L644" s="53"/>
      <c r="M644" s="53"/>
      <c r="N644" s="53"/>
      <c r="O644" s="54"/>
      <c r="P644" s="44"/>
      <c r="Q644" s="78"/>
      <c r="R644" s="78"/>
      <c r="S644" s="78"/>
    </row>
    <row r="645" spans="1:19" ht="18.75">
      <c r="A645" s="49">
        <v>3</v>
      </c>
      <c r="B645" s="274" t="s">
        <v>205</v>
      </c>
      <c r="C645" s="274"/>
      <c r="D645" s="274"/>
      <c r="E645" s="203">
        <v>223</v>
      </c>
      <c r="F645" s="203"/>
      <c r="G645" s="275">
        <v>4.8</v>
      </c>
      <c r="H645" s="275"/>
      <c r="I645" s="52">
        <v>39.4</v>
      </c>
      <c r="J645" s="49"/>
      <c r="K645" s="52">
        <f>ROUND(G645*I645*1000,2)-89476-16600+1715.53+3016.23+4304.2+28945.44+12734.14+8660.71</f>
        <v>142420.24999999997</v>
      </c>
      <c r="L645" s="53"/>
      <c r="M645" s="53"/>
      <c r="N645" s="53"/>
      <c r="O645" s="54"/>
      <c r="P645" s="276"/>
      <c r="Q645" s="78">
        <f>17680.62+32162.68+10830.15</f>
        <v>60673.450000000004</v>
      </c>
      <c r="R645" s="78">
        <f>K645+K646-Q645</f>
        <v>207802.8</v>
      </c>
      <c r="S645" s="78"/>
    </row>
    <row r="646" spans="1:19" ht="18.75">
      <c r="A646" s="49">
        <v>4</v>
      </c>
      <c r="B646" s="274" t="s">
        <v>206</v>
      </c>
      <c r="C646" s="274"/>
      <c r="D646" s="274"/>
      <c r="E646" s="203">
        <v>223</v>
      </c>
      <c r="F646" s="203"/>
      <c r="G646" s="275">
        <v>5.8</v>
      </c>
      <c r="H646" s="275"/>
      <c r="I646" s="52">
        <v>43.32</v>
      </c>
      <c r="J646" s="49"/>
      <c r="K646" s="52">
        <f>ROUND(G646*I646*1000,2)-100000-25200</f>
        <v>126056</v>
      </c>
      <c r="L646" s="53"/>
      <c r="M646" s="53"/>
      <c r="N646" s="53"/>
      <c r="O646" s="54"/>
      <c r="P646" s="276"/>
      <c r="Q646" s="78"/>
      <c r="R646" s="78"/>
      <c r="S646" s="78"/>
    </row>
    <row r="647" spans="1:19" ht="33.75" customHeight="1">
      <c r="A647" s="49"/>
      <c r="B647" s="201" t="s">
        <v>130</v>
      </c>
      <c r="C647" s="226"/>
      <c r="D647" s="202"/>
      <c r="E647" s="203"/>
      <c r="F647" s="203"/>
      <c r="G647" s="203" t="s">
        <v>172</v>
      </c>
      <c r="H647" s="203"/>
      <c r="I647" s="49" t="s">
        <v>172</v>
      </c>
      <c r="J647" s="49" t="s">
        <v>172</v>
      </c>
      <c r="K647" s="52">
        <f>SUM(K643:K646)</f>
        <v>348976.25</v>
      </c>
      <c r="L647" s="53"/>
      <c r="M647" s="53"/>
      <c r="N647" s="53"/>
      <c r="O647" s="54"/>
      <c r="P647" s="47"/>
      <c r="Q647" s="78"/>
      <c r="R647" s="78"/>
      <c r="S647" s="78"/>
    </row>
    <row r="648" spans="1:19" ht="18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4"/>
      <c r="P648" s="44"/>
      <c r="Q648" s="78"/>
      <c r="R648" s="78"/>
      <c r="S648" s="78"/>
    </row>
    <row r="649" spans="1:19" ht="18.75">
      <c r="A649" s="53"/>
      <c r="B649" s="153" t="s">
        <v>419</v>
      </c>
      <c r="C649" s="153"/>
      <c r="D649" s="153"/>
      <c r="E649" s="153"/>
      <c r="F649" s="153"/>
      <c r="G649" s="153"/>
      <c r="H649" s="153"/>
      <c r="I649" s="153"/>
      <c r="J649" s="153"/>
      <c r="K649" s="193"/>
      <c r="L649" s="193"/>
      <c r="M649" s="53"/>
      <c r="N649" s="53"/>
      <c r="O649" s="54"/>
      <c r="P649" s="44"/>
      <c r="Q649" s="78"/>
      <c r="R649" s="78"/>
      <c r="S649" s="78"/>
    </row>
    <row r="650" spans="1:19" ht="18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4"/>
      <c r="P650" s="44"/>
      <c r="Q650" s="78"/>
      <c r="R650" s="78"/>
      <c r="S650" s="78"/>
    </row>
    <row r="651" spans="1:19" ht="37.5" customHeight="1">
      <c r="A651" s="49" t="s">
        <v>155</v>
      </c>
      <c r="B651" s="259" t="s">
        <v>0</v>
      </c>
      <c r="C651" s="259"/>
      <c r="D651" s="259"/>
      <c r="E651" s="259" t="s">
        <v>168</v>
      </c>
      <c r="F651" s="259"/>
      <c r="G651" s="259" t="s">
        <v>185</v>
      </c>
      <c r="H651" s="259"/>
      <c r="I651" s="61" t="s">
        <v>186</v>
      </c>
      <c r="J651" s="61" t="s">
        <v>187</v>
      </c>
      <c r="K651" s="53"/>
      <c r="L651" s="53"/>
      <c r="M651" s="53"/>
      <c r="N651" s="53"/>
      <c r="O651" s="54"/>
      <c r="P651" s="44"/>
      <c r="Q651" s="78"/>
      <c r="R651" s="78"/>
      <c r="S651" s="78"/>
    </row>
    <row r="652" spans="1:19" ht="18.75">
      <c r="A652" s="187">
        <v>1</v>
      </c>
      <c r="B652" s="203">
        <v>2</v>
      </c>
      <c r="C652" s="203"/>
      <c r="D652" s="203"/>
      <c r="E652" s="203">
        <v>3</v>
      </c>
      <c r="F652" s="203"/>
      <c r="G652" s="203">
        <v>4</v>
      </c>
      <c r="H652" s="203"/>
      <c r="I652" s="187">
        <v>5</v>
      </c>
      <c r="J652" s="187">
        <v>6</v>
      </c>
      <c r="K652" s="53"/>
      <c r="L652" s="53"/>
      <c r="M652" s="53"/>
      <c r="N652" s="53"/>
      <c r="O652" s="54"/>
      <c r="P652" s="44"/>
      <c r="Q652" s="78" t="s">
        <v>315</v>
      </c>
      <c r="R652" s="78">
        <f>Q653+Q654+Q655+Q656+Q657+Q658+Q659+Q660+Q661+Q662+Q663</f>
        <v>716811.7</v>
      </c>
      <c r="S652" s="78"/>
    </row>
    <row r="653" spans="1:21" ht="18.75">
      <c r="A653" s="49">
        <v>1</v>
      </c>
      <c r="B653" s="211" t="s">
        <v>241</v>
      </c>
      <c r="C653" s="211"/>
      <c r="D653" s="211"/>
      <c r="E653" s="203">
        <v>225</v>
      </c>
      <c r="F653" s="203"/>
      <c r="G653" s="203" t="s">
        <v>209</v>
      </c>
      <c r="H653" s="203"/>
      <c r="I653" s="49">
        <v>12</v>
      </c>
      <c r="J653" s="52">
        <f>143655.57-14569.29</f>
        <v>129086.28</v>
      </c>
      <c r="K653" s="53"/>
      <c r="L653" s="53"/>
      <c r="M653" s="53"/>
      <c r="N653" s="53"/>
      <c r="O653" s="54"/>
      <c r="P653" s="44"/>
      <c r="Q653" s="78">
        <f>18515.04+12921.95+14464.88+28929.75+5207.36+19104.32</f>
        <v>99143.29999999999</v>
      </c>
      <c r="R653" s="78">
        <f aca="true" t="shared" si="5" ref="R653:R659">J653-Q653</f>
        <v>29942.98000000001</v>
      </c>
      <c r="S653" s="78"/>
      <c r="T653" s="16"/>
      <c r="U653" s="16"/>
    </row>
    <row r="654" spans="1:21" ht="36.75" customHeight="1">
      <c r="A654" s="49">
        <v>2</v>
      </c>
      <c r="B654" s="211" t="s">
        <v>240</v>
      </c>
      <c r="C654" s="211"/>
      <c r="D654" s="211"/>
      <c r="E654" s="203">
        <v>225</v>
      </c>
      <c r="F654" s="203"/>
      <c r="G654" s="203" t="s">
        <v>209</v>
      </c>
      <c r="H654" s="203"/>
      <c r="I654" s="49">
        <v>12</v>
      </c>
      <c r="J654" s="52">
        <v>24000</v>
      </c>
      <c r="K654" s="53"/>
      <c r="L654" s="53"/>
      <c r="M654" s="53"/>
      <c r="N654" s="53"/>
      <c r="O654" s="54"/>
      <c r="P654" s="44"/>
      <c r="Q654" s="78">
        <f>2000+2000+6000+2000+2000+2000</f>
        <v>16000</v>
      </c>
      <c r="R654" s="78">
        <f t="shared" si="5"/>
        <v>8000</v>
      </c>
      <c r="S654" s="78"/>
      <c r="T654" s="16"/>
      <c r="U654" s="16"/>
    </row>
    <row r="655" spans="1:21" ht="18.75" customHeight="1">
      <c r="A655" s="49">
        <v>3</v>
      </c>
      <c r="B655" s="211" t="s">
        <v>239</v>
      </c>
      <c r="C655" s="211"/>
      <c r="D655" s="211"/>
      <c r="E655" s="203">
        <v>225</v>
      </c>
      <c r="F655" s="203"/>
      <c r="G655" s="203" t="s">
        <v>209</v>
      </c>
      <c r="H655" s="203"/>
      <c r="I655" s="49">
        <v>4</v>
      </c>
      <c r="J655" s="52">
        <v>23327.88</v>
      </c>
      <c r="K655" s="53"/>
      <c r="L655" s="53"/>
      <c r="M655" s="53"/>
      <c r="N655" s="53"/>
      <c r="O655" s="54"/>
      <c r="P655" s="44"/>
      <c r="Q655" s="78">
        <f>5831.97+5831.97+5831.97</f>
        <v>17495.91</v>
      </c>
      <c r="R655" s="78">
        <f t="shared" si="5"/>
        <v>5831.970000000001</v>
      </c>
      <c r="S655" s="78"/>
      <c r="T655" s="78"/>
      <c r="U655" s="16"/>
    </row>
    <row r="656" spans="1:21" ht="41.25" customHeight="1">
      <c r="A656" s="49">
        <v>4</v>
      </c>
      <c r="B656" s="211" t="s">
        <v>242</v>
      </c>
      <c r="C656" s="211"/>
      <c r="D656" s="211"/>
      <c r="E656" s="203">
        <v>225</v>
      </c>
      <c r="F656" s="203"/>
      <c r="G656" s="203" t="s">
        <v>209</v>
      </c>
      <c r="H656" s="203"/>
      <c r="I656" s="49">
        <v>12</v>
      </c>
      <c r="J656" s="52">
        <v>31000</v>
      </c>
      <c r="K656" s="53"/>
      <c r="L656" s="53"/>
      <c r="M656" s="53"/>
      <c r="N656" s="53"/>
      <c r="O656" s="54"/>
      <c r="P656" s="44"/>
      <c r="Q656" s="78">
        <f>3000+11000+2000+2000+2000+2000</f>
        <v>22000</v>
      </c>
      <c r="R656" s="78">
        <f t="shared" si="5"/>
        <v>9000</v>
      </c>
      <c r="S656" s="78"/>
      <c r="T656" s="16"/>
      <c r="U656" s="16"/>
    </row>
    <row r="657" spans="1:21" ht="99.75" customHeight="1">
      <c r="A657" s="49">
        <v>5</v>
      </c>
      <c r="B657" s="198" t="s">
        <v>299</v>
      </c>
      <c r="C657" s="199"/>
      <c r="D657" s="200"/>
      <c r="E657" s="203">
        <v>225</v>
      </c>
      <c r="F657" s="203"/>
      <c r="G657" s="203" t="s">
        <v>209</v>
      </c>
      <c r="H657" s="203"/>
      <c r="I657" s="49">
        <v>12</v>
      </c>
      <c r="J657" s="52">
        <v>5337.6</v>
      </c>
      <c r="K657" s="53"/>
      <c r="L657" s="53"/>
      <c r="M657" s="53"/>
      <c r="N657" s="53"/>
      <c r="O657" s="54"/>
      <c r="P657" s="44"/>
      <c r="Q657" s="78">
        <f>444.8+444.8+444.8+444.8+889.6+444.8+444.8+444.8</f>
        <v>4003.2000000000007</v>
      </c>
      <c r="R657" s="78">
        <f t="shared" si="5"/>
        <v>1334.3999999999996</v>
      </c>
      <c r="S657" s="78"/>
      <c r="T657" s="16"/>
      <c r="U657" s="16"/>
    </row>
    <row r="658" spans="1:21" ht="38.25" customHeight="1">
      <c r="A658" s="49">
        <v>6</v>
      </c>
      <c r="B658" s="198" t="s">
        <v>344</v>
      </c>
      <c r="C658" s="199"/>
      <c r="D658" s="200"/>
      <c r="E658" s="201">
        <v>225</v>
      </c>
      <c r="F658" s="202"/>
      <c r="G658" s="201" t="s">
        <v>345</v>
      </c>
      <c r="H658" s="202"/>
      <c r="I658" s="49">
        <v>1</v>
      </c>
      <c r="J658" s="52">
        <f>18000-5337.6</f>
        <v>12662.4</v>
      </c>
      <c r="K658" s="53"/>
      <c r="L658" s="53"/>
      <c r="M658" s="53"/>
      <c r="N658" s="53"/>
      <c r="O658" s="54"/>
      <c r="P658" s="44"/>
      <c r="Q658" s="78"/>
      <c r="R658" s="78">
        <f t="shared" si="5"/>
        <v>12662.4</v>
      </c>
      <c r="S658" s="78"/>
      <c r="T658" s="16"/>
      <c r="U658" s="16"/>
    </row>
    <row r="659" spans="1:21" ht="38.25" customHeight="1">
      <c r="A659" s="49">
        <v>7</v>
      </c>
      <c r="B659" s="198" t="s">
        <v>375</v>
      </c>
      <c r="C659" s="199"/>
      <c r="D659" s="200"/>
      <c r="E659" s="201">
        <v>225</v>
      </c>
      <c r="F659" s="202"/>
      <c r="G659" s="201" t="s">
        <v>209</v>
      </c>
      <c r="H659" s="202"/>
      <c r="I659" s="49">
        <v>12</v>
      </c>
      <c r="J659" s="52">
        <v>36000</v>
      </c>
      <c r="K659" s="53"/>
      <c r="L659" s="53"/>
      <c r="M659" s="53"/>
      <c r="N659" s="53"/>
      <c r="O659" s="54"/>
      <c r="P659" s="44"/>
      <c r="Q659" s="78">
        <f>3000+3000+9000+3000+3000+3000</f>
        <v>24000</v>
      </c>
      <c r="R659" s="78">
        <f t="shared" si="5"/>
        <v>12000</v>
      </c>
      <c r="S659" s="78"/>
      <c r="T659" s="16"/>
      <c r="U659" s="16"/>
    </row>
    <row r="660" spans="1:21" ht="38.25" customHeight="1">
      <c r="A660" s="49">
        <v>8</v>
      </c>
      <c r="B660" s="198" t="s">
        <v>525</v>
      </c>
      <c r="C660" s="199"/>
      <c r="D660" s="200"/>
      <c r="E660" s="201">
        <v>225</v>
      </c>
      <c r="F660" s="202"/>
      <c r="G660" s="201" t="s">
        <v>209</v>
      </c>
      <c r="H660" s="202"/>
      <c r="I660" s="49">
        <v>12</v>
      </c>
      <c r="J660" s="52">
        <f>338600-656.02</f>
        <v>337943.98</v>
      </c>
      <c r="K660" s="53"/>
      <c r="L660" s="53"/>
      <c r="M660" s="53"/>
      <c r="N660" s="53"/>
      <c r="O660" s="54"/>
      <c r="P660" s="44"/>
      <c r="Q660" s="78">
        <v>337943.98</v>
      </c>
      <c r="R660" s="78">
        <f>J660-Q660</f>
        <v>0</v>
      </c>
      <c r="S660" s="78"/>
      <c r="T660" s="16"/>
      <c r="U660" s="16"/>
    </row>
    <row r="661" spans="1:21" ht="57.75" customHeight="1">
      <c r="A661" s="49">
        <v>9</v>
      </c>
      <c r="B661" s="198" t="s">
        <v>534</v>
      </c>
      <c r="C661" s="199"/>
      <c r="D661" s="200"/>
      <c r="E661" s="201">
        <v>225</v>
      </c>
      <c r="F661" s="202"/>
      <c r="G661" s="201" t="s">
        <v>209</v>
      </c>
      <c r="H661" s="202"/>
      <c r="I661" s="49">
        <v>12</v>
      </c>
      <c r="J661" s="52">
        <f>181000+656.02+14569.29</f>
        <v>196225.31</v>
      </c>
      <c r="K661" s="53"/>
      <c r="L661" s="53"/>
      <c r="M661" s="53"/>
      <c r="N661" s="53"/>
      <c r="O661" s="54"/>
      <c r="P661" s="44"/>
      <c r="Q661" s="78">
        <f>165616+30609.31</f>
        <v>196225.31</v>
      </c>
      <c r="R661" s="78">
        <f>J661-Q661</f>
        <v>0</v>
      </c>
      <c r="S661" s="78"/>
      <c r="T661" s="16"/>
      <c r="U661" s="16"/>
    </row>
    <row r="662" spans="1:21" ht="54.75" customHeight="1">
      <c r="A662" s="49">
        <v>10</v>
      </c>
      <c r="B662" s="198" t="s">
        <v>546</v>
      </c>
      <c r="C662" s="199"/>
      <c r="D662" s="200"/>
      <c r="E662" s="201">
        <v>225</v>
      </c>
      <c r="F662" s="202"/>
      <c r="G662" s="201" t="s">
        <v>209</v>
      </c>
      <c r="H662" s="202"/>
      <c r="I662" s="49">
        <v>1</v>
      </c>
      <c r="J662" s="52">
        <v>18000</v>
      </c>
      <c r="K662" s="53"/>
      <c r="L662" s="53"/>
      <c r="M662" s="53"/>
      <c r="N662" s="53"/>
      <c r="O662" s="54"/>
      <c r="P662" s="44"/>
      <c r="Q662" s="78"/>
      <c r="R662" s="78">
        <f>J662-Q662</f>
        <v>18000</v>
      </c>
      <c r="S662" s="78"/>
      <c r="T662" s="16"/>
      <c r="U662" s="16"/>
    </row>
    <row r="663" spans="1:21" ht="38.25" customHeight="1">
      <c r="A663" s="49">
        <v>11</v>
      </c>
      <c r="B663" s="198" t="s">
        <v>551</v>
      </c>
      <c r="C663" s="199"/>
      <c r="D663" s="200"/>
      <c r="E663" s="201">
        <v>225</v>
      </c>
      <c r="F663" s="202"/>
      <c r="G663" s="201" t="s">
        <v>209</v>
      </c>
      <c r="H663" s="202"/>
      <c r="I663" s="49">
        <v>1</v>
      </c>
      <c r="J663" s="52">
        <v>19000</v>
      </c>
      <c r="K663" s="53"/>
      <c r="L663" s="53"/>
      <c r="M663" s="53"/>
      <c r="N663" s="53"/>
      <c r="O663" s="54"/>
      <c r="P663" s="44"/>
      <c r="Q663" s="78"/>
      <c r="R663" s="78">
        <f>J663-Q663</f>
        <v>19000</v>
      </c>
      <c r="S663" s="78"/>
      <c r="T663" s="16"/>
      <c r="U663" s="16"/>
    </row>
    <row r="664" spans="1:21" ht="18.75">
      <c r="A664" s="49"/>
      <c r="B664" s="201" t="s">
        <v>130</v>
      </c>
      <c r="C664" s="226"/>
      <c r="D664" s="202"/>
      <c r="E664" s="201"/>
      <c r="F664" s="202"/>
      <c r="G664" s="203" t="s">
        <v>6</v>
      </c>
      <c r="H664" s="203"/>
      <c r="I664" s="49" t="s">
        <v>6</v>
      </c>
      <c r="J664" s="52">
        <f>SUM(J653:J663)</f>
        <v>832583.45</v>
      </c>
      <c r="K664" s="53"/>
      <c r="L664" s="53"/>
      <c r="M664" s="53"/>
      <c r="N664" s="53"/>
      <c r="O664" s="54"/>
      <c r="P664" s="47"/>
      <c r="Q664" s="78"/>
      <c r="R664" s="78"/>
      <c r="S664" s="78"/>
      <c r="T664" s="16"/>
      <c r="U664" s="16"/>
    </row>
    <row r="665" spans="1:19" ht="18.75">
      <c r="A665" s="56"/>
      <c r="B665" s="56"/>
      <c r="C665" s="56"/>
      <c r="D665" s="56"/>
      <c r="E665" s="56"/>
      <c r="F665" s="63"/>
      <c r="G665" s="53"/>
      <c r="H665" s="53"/>
      <c r="I665" s="53"/>
      <c r="J665" s="53"/>
      <c r="K665" s="53"/>
      <c r="L665" s="53"/>
      <c r="M665" s="53"/>
      <c r="N665" s="53"/>
      <c r="O665" s="54"/>
      <c r="P665" s="47"/>
      <c r="Q665" s="78"/>
      <c r="R665" s="78"/>
      <c r="S665" s="78"/>
    </row>
    <row r="666" spans="1:19" ht="18.75">
      <c r="A666" s="53"/>
      <c r="B666" s="53" t="s">
        <v>420</v>
      </c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4"/>
      <c r="P666" s="44"/>
      <c r="Q666" s="78"/>
      <c r="R666" s="78"/>
      <c r="S666" s="78"/>
    </row>
    <row r="667" spans="1:19" ht="18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4"/>
      <c r="P667" s="44"/>
      <c r="Q667" s="78"/>
      <c r="R667" s="78"/>
      <c r="S667" s="78"/>
    </row>
    <row r="668" spans="1:19" ht="37.5" customHeight="1">
      <c r="A668" s="49" t="s">
        <v>155</v>
      </c>
      <c r="B668" s="259" t="s">
        <v>0</v>
      </c>
      <c r="C668" s="259"/>
      <c r="D668" s="259"/>
      <c r="E668" s="259" t="s">
        <v>168</v>
      </c>
      <c r="F668" s="259"/>
      <c r="G668" s="259" t="s">
        <v>188</v>
      </c>
      <c r="H668" s="259"/>
      <c r="I668" s="61" t="s">
        <v>173</v>
      </c>
      <c r="J668" s="53"/>
      <c r="K668" s="53"/>
      <c r="L668" s="53"/>
      <c r="M668" s="53"/>
      <c r="N668" s="53"/>
      <c r="O668" s="54"/>
      <c r="P668" s="44"/>
      <c r="Q668" s="78"/>
      <c r="R668" s="78"/>
      <c r="S668" s="78"/>
    </row>
    <row r="669" spans="1:19" ht="18.75">
      <c r="A669" s="187">
        <v>1</v>
      </c>
      <c r="B669" s="203">
        <v>2</v>
      </c>
      <c r="C669" s="203"/>
      <c r="D669" s="203"/>
      <c r="E669" s="203">
        <v>3</v>
      </c>
      <c r="F669" s="203"/>
      <c r="G669" s="203">
        <v>4</v>
      </c>
      <c r="H669" s="203"/>
      <c r="I669" s="187">
        <v>5</v>
      </c>
      <c r="J669" s="53"/>
      <c r="K669" s="53"/>
      <c r="L669" s="53"/>
      <c r="M669" s="53"/>
      <c r="N669" s="53"/>
      <c r="O669" s="54"/>
      <c r="P669" s="44"/>
      <c r="Q669" s="78" t="s">
        <v>311</v>
      </c>
      <c r="R669" s="78">
        <f>Q670+Q672+Q673+Q674+Q675+Q671+Q676+Q677+Q678</f>
        <v>576586.97</v>
      </c>
      <c r="S669" s="78"/>
    </row>
    <row r="670" spans="1:20" ht="39.75" customHeight="1">
      <c r="A670" s="150">
        <v>1</v>
      </c>
      <c r="B670" s="211" t="s">
        <v>282</v>
      </c>
      <c r="C670" s="211"/>
      <c r="D670" s="211"/>
      <c r="E670" s="203">
        <v>226</v>
      </c>
      <c r="F670" s="203"/>
      <c r="G670" s="203">
        <v>1</v>
      </c>
      <c r="H670" s="203"/>
      <c r="I670" s="52">
        <f>16816.44+1376.12</f>
        <v>18192.559999999998</v>
      </c>
      <c r="J670" s="53"/>
      <c r="K670" s="53"/>
      <c r="L670" s="53"/>
      <c r="M670" s="53"/>
      <c r="N670" s="53"/>
      <c r="O670" s="54"/>
      <c r="P670" s="44"/>
      <c r="Q670" s="78">
        <f>4548.14+2274.07+4548.14+4548.14+2274.07</f>
        <v>18192.56</v>
      </c>
      <c r="R670" s="78">
        <f aca="true" t="shared" si="6" ref="R670:R675">I670-Q670</f>
        <v>0</v>
      </c>
      <c r="S670" s="78"/>
      <c r="T670" s="16"/>
    </row>
    <row r="671" spans="1:20" ht="39.75" customHeight="1">
      <c r="A671" s="150">
        <v>2</v>
      </c>
      <c r="B671" s="198" t="s">
        <v>384</v>
      </c>
      <c r="C671" s="199"/>
      <c r="D671" s="200"/>
      <c r="E671" s="203">
        <v>226</v>
      </c>
      <c r="F671" s="203"/>
      <c r="G671" s="203">
        <v>1</v>
      </c>
      <c r="H671" s="203"/>
      <c r="I671" s="52">
        <f>19654.43-5000-14654.43</f>
        <v>0</v>
      </c>
      <c r="J671" s="53"/>
      <c r="K671" s="53"/>
      <c r="L671" s="53"/>
      <c r="M671" s="53"/>
      <c r="N671" s="53"/>
      <c r="O671" s="54"/>
      <c r="P671" s="44"/>
      <c r="Q671" s="78"/>
      <c r="R671" s="78">
        <f>I671-Q671</f>
        <v>0</v>
      </c>
      <c r="S671" s="78"/>
      <c r="T671" s="16"/>
    </row>
    <row r="672" spans="1:20" ht="38.25" customHeight="1">
      <c r="A672" s="150">
        <v>3</v>
      </c>
      <c r="B672" s="198" t="s">
        <v>385</v>
      </c>
      <c r="C672" s="199"/>
      <c r="D672" s="200"/>
      <c r="E672" s="203">
        <v>226</v>
      </c>
      <c r="F672" s="203"/>
      <c r="G672" s="203">
        <v>1</v>
      </c>
      <c r="H672" s="203"/>
      <c r="I672" s="52">
        <f>744600+14654.43-1376.12-1504.25</f>
        <v>756374.06</v>
      </c>
      <c r="J672" s="53"/>
      <c r="K672" s="53"/>
      <c r="L672" s="53"/>
      <c r="M672" s="53"/>
      <c r="N672" s="53"/>
      <c r="O672" s="54"/>
      <c r="P672" s="44"/>
      <c r="Q672" s="78">
        <f>93956.04+41640.48+46101.96+46101.96+44614.8+44614.8+59520+59520</f>
        <v>436070.04</v>
      </c>
      <c r="R672" s="78">
        <f>I672-Q672</f>
        <v>320304.0200000001</v>
      </c>
      <c r="S672" s="78"/>
      <c r="T672" s="78"/>
    </row>
    <row r="673" spans="1:20" ht="18.75" customHeight="1">
      <c r="A673" s="150">
        <v>4</v>
      </c>
      <c r="B673" s="273" t="s">
        <v>243</v>
      </c>
      <c r="C673" s="273"/>
      <c r="D673" s="273"/>
      <c r="E673" s="203">
        <v>226</v>
      </c>
      <c r="F673" s="203"/>
      <c r="G673" s="203">
        <v>1</v>
      </c>
      <c r="H673" s="203"/>
      <c r="I673" s="52">
        <v>1900</v>
      </c>
      <c r="J673" s="53"/>
      <c r="K673" s="53"/>
      <c r="L673" s="53"/>
      <c r="M673" s="53"/>
      <c r="N673" s="53"/>
      <c r="O673" s="54"/>
      <c r="P673" s="44"/>
      <c r="Q673" s="78"/>
      <c r="R673" s="78">
        <f t="shared" si="6"/>
        <v>1900</v>
      </c>
      <c r="S673" s="78"/>
      <c r="T673" s="16"/>
    </row>
    <row r="674" spans="1:20" ht="18.75" customHeight="1">
      <c r="A674" s="150">
        <v>5</v>
      </c>
      <c r="B674" s="273" t="s">
        <v>244</v>
      </c>
      <c r="C674" s="273"/>
      <c r="D674" s="273"/>
      <c r="E674" s="203">
        <v>226</v>
      </c>
      <c r="F674" s="203"/>
      <c r="G674" s="203">
        <v>1</v>
      </c>
      <c r="H674" s="203"/>
      <c r="I674" s="52">
        <v>9786</v>
      </c>
      <c r="J674" s="53"/>
      <c r="K674" s="53"/>
      <c r="L674" s="53"/>
      <c r="M674" s="53"/>
      <c r="N674" s="53"/>
      <c r="O674" s="54"/>
      <c r="P674" s="44"/>
      <c r="Q674" s="78">
        <f>3798</f>
        <v>3798</v>
      </c>
      <c r="R674" s="78">
        <f t="shared" si="6"/>
        <v>5988</v>
      </c>
      <c r="S674" s="78"/>
      <c r="T674" s="16"/>
    </row>
    <row r="675" spans="1:20" ht="18.75" customHeight="1">
      <c r="A675" s="150">
        <v>6</v>
      </c>
      <c r="B675" s="245" t="s">
        <v>327</v>
      </c>
      <c r="C675" s="246"/>
      <c r="D675" s="247"/>
      <c r="E675" s="201">
        <v>226</v>
      </c>
      <c r="F675" s="202"/>
      <c r="G675" s="201">
        <v>1</v>
      </c>
      <c r="H675" s="202"/>
      <c r="I675" s="52">
        <v>3000</v>
      </c>
      <c r="J675" s="53"/>
      <c r="K675" s="53"/>
      <c r="L675" s="53"/>
      <c r="M675" s="53"/>
      <c r="N675" s="53"/>
      <c r="O675" s="54"/>
      <c r="P675" s="44"/>
      <c r="Q675" s="78"/>
      <c r="R675" s="78">
        <f t="shared" si="6"/>
        <v>3000</v>
      </c>
      <c r="S675" s="78"/>
      <c r="T675" s="16"/>
    </row>
    <row r="676" spans="1:20" ht="47.25" customHeight="1">
      <c r="A676" s="150">
        <v>7</v>
      </c>
      <c r="B676" s="198" t="s">
        <v>526</v>
      </c>
      <c r="C676" s="199"/>
      <c r="D676" s="200"/>
      <c r="E676" s="201">
        <v>226</v>
      </c>
      <c r="F676" s="202"/>
      <c r="G676" s="201">
        <v>1</v>
      </c>
      <c r="H676" s="202"/>
      <c r="I676" s="52">
        <v>113526.37</v>
      </c>
      <c r="J676" s="53"/>
      <c r="K676" s="53"/>
      <c r="L676" s="53"/>
      <c r="M676" s="53"/>
      <c r="N676" s="53"/>
      <c r="O676" s="54"/>
      <c r="P676" s="44"/>
      <c r="Q676" s="78">
        <f>113526.37</f>
        <v>113526.37</v>
      </c>
      <c r="R676" s="78">
        <f>I676-Q676</f>
        <v>0</v>
      </c>
      <c r="S676" s="78"/>
      <c r="T676" s="16"/>
    </row>
    <row r="677" spans="1:20" ht="47.25" customHeight="1">
      <c r="A677" s="150">
        <v>8</v>
      </c>
      <c r="B677" s="198" t="s">
        <v>528</v>
      </c>
      <c r="C677" s="199"/>
      <c r="D677" s="200"/>
      <c r="E677" s="201">
        <v>226</v>
      </c>
      <c r="F677" s="202"/>
      <c r="G677" s="201">
        <v>1</v>
      </c>
      <c r="H677" s="202"/>
      <c r="I677" s="52">
        <v>5000</v>
      </c>
      <c r="J677" s="53"/>
      <c r="K677" s="53"/>
      <c r="L677" s="53"/>
      <c r="M677" s="53"/>
      <c r="N677" s="53"/>
      <c r="O677" s="54"/>
      <c r="P677" s="44"/>
      <c r="Q677" s="78">
        <v>5000</v>
      </c>
      <c r="R677" s="78">
        <f>I677-Q677</f>
        <v>0</v>
      </c>
      <c r="S677" s="78"/>
      <c r="T677" s="16"/>
    </row>
    <row r="678" spans="1:20" ht="47.25" customHeight="1">
      <c r="A678" s="150">
        <v>9</v>
      </c>
      <c r="B678" s="198" t="s">
        <v>547</v>
      </c>
      <c r="C678" s="199"/>
      <c r="D678" s="200"/>
      <c r="E678" s="201">
        <v>226</v>
      </c>
      <c r="F678" s="202"/>
      <c r="G678" s="201">
        <v>1</v>
      </c>
      <c r="H678" s="202"/>
      <c r="I678" s="52">
        <v>41000</v>
      </c>
      <c r="J678" s="53"/>
      <c r="K678" s="53"/>
      <c r="L678" s="53"/>
      <c r="M678" s="53"/>
      <c r="N678" s="53"/>
      <c r="O678" s="54"/>
      <c r="P678" s="44"/>
      <c r="Q678" s="78"/>
      <c r="R678" s="78">
        <f>I678-Q678</f>
        <v>41000</v>
      </c>
      <c r="S678" s="78"/>
      <c r="T678" s="16"/>
    </row>
    <row r="679" spans="1:20" ht="18.75" customHeight="1">
      <c r="A679" s="49"/>
      <c r="B679" s="201" t="s">
        <v>130</v>
      </c>
      <c r="C679" s="226"/>
      <c r="D679" s="202"/>
      <c r="E679" s="201"/>
      <c r="F679" s="202"/>
      <c r="G679" s="201" t="s">
        <v>6</v>
      </c>
      <c r="H679" s="202"/>
      <c r="I679" s="52">
        <f>SUM(I670:I678)</f>
        <v>948778.9900000001</v>
      </c>
      <c r="J679" s="53"/>
      <c r="K679" s="53"/>
      <c r="L679" s="53"/>
      <c r="M679" s="53"/>
      <c r="N679" s="53"/>
      <c r="O679" s="54"/>
      <c r="P679" s="47"/>
      <c r="Q679" s="78"/>
      <c r="R679" s="78"/>
      <c r="S679" s="78"/>
      <c r="T679" s="16"/>
    </row>
    <row r="680" spans="1:20" ht="18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4"/>
      <c r="P680" s="44"/>
      <c r="Q680" s="78"/>
      <c r="R680" s="78"/>
      <c r="S680" s="78"/>
      <c r="T680" s="16"/>
    </row>
    <row r="681" spans="1:19" ht="18.75" hidden="1">
      <c r="A681" s="53"/>
      <c r="B681" s="53" t="s">
        <v>231</v>
      </c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4"/>
      <c r="P681" s="44"/>
      <c r="Q681" s="78"/>
      <c r="R681" s="78"/>
      <c r="S681" s="78"/>
    </row>
    <row r="682" spans="1:19" ht="18.75" hidden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4"/>
      <c r="P682" s="44"/>
      <c r="Q682" s="78"/>
      <c r="R682" s="78"/>
      <c r="S682" s="78"/>
    </row>
    <row r="683" spans="1:19" ht="93.75" customHeight="1" hidden="1">
      <c r="A683" s="49" t="s">
        <v>155</v>
      </c>
      <c r="B683" s="211" t="s">
        <v>0</v>
      </c>
      <c r="C683" s="211"/>
      <c r="D683" s="211"/>
      <c r="E683" s="259" t="s">
        <v>168</v>
      </c>
      <c r="F683" s="259"/>
      <c r="G683" s="259" t="s">
        <v>189</v>
      </c>
      <c r="H683" s="259"/>
      <c r="I683" s="61" t="s">
        <v>190</v>
      </c>
      <c r="J683" s="61" t="s">
        <v>191</v>
      </c>
      <c r="K683" s="53"/>
      <c r="L683" s="53"/>
      <c r="M683" s="53"/>
      <c r="N683" s="53"/>
      <c r="O683" s="54"/>
      <c r="P683" s="44"/>
      <c r="Q683" s="78"/>
      <c r="R683" s="78"/>
      <c r="S683" s="78"/>
    </row>
    <row r="684" spans="1:19" ht="18.75" hidden="1">
      <c r="A684" s="187">
        <v>1</v>
      </c>
      <c r="B684" s="201">
        <v>2</v>
      </c>
      <c r="C684" s="226"/>
      <c r="D684" s="202"/>
      <c r="E684" s="203">
        <v>3</v>
      </c>
      <c r="F684" s="203"/>
      <c r="G684" s="203">
        <v>4</v>
      </c>
      <c r="H684" s="203"/>
      <c r="I684" s="187">
        <v>5</v>
      </c>
      <c r="J684" s="187">
        <v>6</v>
      </c>
      <c r="K684" s="193"/>
      <c r="L684" s="193"/>
      <c r="M684" s="193"/>
      <c r="N684" s="193"/>
      <c r="O684" s="62"/>
      <c r="P684" s="45"/>
      <c r="Q684" s="78"/>
      <c r="R684" s="78"/>
      <c r="S684" s="78"/>
    </row>
    <row r="685" spans="1:19" ht="18.75" hidden="1">
      <c r="A685" s="49">
        <v>1</v>
      </c>
      <c r="B685" s="211"/>
      <c r="C685" s="211"/>
      <c r="D685" s="211"/>
      <c r="E685" s="203">
        <v>310</v>
      </c>
      <c r="F685" s="203"/>
      <c r="G685" s="264">
        <v>1</v>
      </c>
      <c r="H685" s="264"/>
      <c r="I685" s="52">
        <f>J685/G685</f>
        <v>0</v>
      </c>
      <c r="J685" s="52"/>
      <c r="K685" s="53"/>
      <c r="L685" s="53"/>
      <c r="M685" s="53"/>
      <c r="N685" s="53"/>
      <c r="O685" s="54"/>
      <c r="P685" s="44"/>
      <c r="Q685" s="78"/>
      <c r="R685" s="78"/>
      <c r="S685" s="78"/>
    </row>
    <row r="686" spans="1:19" ht="18.75" hidden="1">
      <c r="A686" s="49">
        <v>2</v>
      </c>
      <c r="B686" s="211"/>
      <c r="C686" s="211"/>
      <c r="D686" s="211"/>
      <c r="E686" s="203">
        <v>310</v>
      </c>
      <c r="F686" s="203"/>
      <c r="G686" s="264">
        <v>1</v>
      </c>
      <c r="H686" s="264"/>
      <c r="I686" s="52">
        <f>J686/G686</f>
        <v>0</v>
      </c>
      <c r="J686" s="52"/>
      <c r="K686" s="53"/>
      <c r="L686" s="53"/>
      <c r="M686" s="53"/>
      <c r="N686" s="53"/>
      <c r="O686" s="54"/>
      <c r="P686" s="44"/>
      <c r="Q686" s="78"/>
      <c r="R686" s="78"/>
      <c r="S686" s="78"/>
    </row>
    <row r="687" spans="1:19" ht="18.75" hidden="1">
      <c r="A687" s="49">
        <v>3</v>
      </c>
      <c r="B687" s="211"/>
      <c r="C687" s="211"/>
      <c r="D687" s="211"/>
      <c r="E687" s="203">
        <v>310</v>
      </c>
      <c r="F687" s="203"/>
      <c r="G687" s="264">
        <v>2</v>
      </c>
      <c r="H687" s="264"/>
      <c r="I687" s="52">
        <f>J687/G687</f>
        <v>0</v>
      </c>
      <c r="J687" s="52"/>
      <c r="K687" s="53"/>
      <c r="L687" s="53"/>
      <c r="M687" s="53"/>
      <c r="N687" s="53"/>
      <c r="O687" s="54"/>
      <c r="P687" s="44"/>
      <c r="Q687" s="78"/>
      <c r="R687" s="78"/>
      <c r="S687" s="78"/>
    </row>
    <row r="688" spans="1:19" ht="18.75" hidden="1">
      <c r="A688" s="49"/>
      <c r="B688" s="265" t="s">
        <v>130</v>
      </c>
      <c r="C688" s="265"/>
      <c r="D688" s="265"/>
      <c r="E688" s="203"/>
      <c r="F688" s="203"/>
      <c r="G688" s="203"/>
      <c r="H688" s="203"/>
      <c r="I688" s="49" t="s">
        <v>6</v>
      </c>
      <c r="J688" s="183">
        <f>SUM(J685:J687)</f>
        <v>0</v>
      </c>
      <c r="K688" s="53"/>
      <c r="L688" s="53"/>
      <c r="M688" s="53"/>
      <c r="N688" s="53"/>
      <c r="O688" s="54"/>
      <c r="P688" s="47"/>
      <c r="Q688" s="78"/>
      <c r="R688" s="78"/>
      <c r="S688" s="78"/>
    </row>
    <row r="689" spans="1:19" ht="18.75" hidden="1">
      <c r="A689" s="53"/>
      <c r="B689" s="53" t="s">
        <v>232</v>
      </c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4"/>
      <c r="P689" s="44"/>
      <c r="Q689" s="78"/>
      <c r="R689" s="78"/>
      <c r="S689" s="78"/>
    </row>
    <row r="690" spans="1:19" ht="18.75" hidden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4"/>
      <c r="P690" s="44"/>
      <c r="Q690" s="78"/>
      <c r="R690" s="78"/>
      <c r="S690" s="78"/>
    </row>
    <row r="691" spans="1:19" ht="56.25" hidden="1">
      <c r="A691" s="49" t="s">
        <v>155</v>
      </c>
      <c r="B691" s="259" t="s">
        <v>0</v>
      </c>
      <c r="C691" s="259"/>
      <c r="D691" s="259"/>
      <c r="E691" s="259" t="s">
        <v>168</v>
      </c>
      <c r="F691" s="259"/>
      <c r="G691" s="259" t="s">
        <v>189</v>
      </c>
      <c r="H691" s="259"/>
      <c r="I691" s="61" t="s">
        <v>190</v>
      </c>
      <c r="J691" s="61" t="s">
        <v>191</v>
      </c>
      <c r="K691" s="53"/>
      <c r="L691" s="53"/>
      <c r="M691" s="53"/>
      <c r="N691" s="53"/>
      <c r="O691" s="54"/>
      <c r="P691" s="44"/>
      <c r="Q691" s="78"/>
      <c r="R691" s="78"/>
      <c r="S691" s="78"/>
    </row>
    <row r="692" spans="1:19" ht="18.75" hidden="1">
      <c r="A692" s="187">
        <v>1</v>
      </c>
      <c r="B692" s="203">
        <v>2</v>
      </c>
      <c r="C692" s="203"/>
      <c r="D692" s="203"/>
      <c r="E692" s="203">
        <v>3</v>
      </c>
      <c r="F692" s="203"/>
      <c r="G692" s="203">
        <v>4</v>
      </c>
      <c r="H692" s="203"/>
      <c r="I692" s="187">
        <v>5</v>
      </c>
      <c r="J692" s="187">
        <v>6</v>
      </c>
      <c r="K692" s="193"/>
      <c r="L692" s="193"/>
      <c r="M692" s="193"/>
      <c r="N692" s="193"/>
      <c r="O692" s="62"/>
      <c r="P692" s="45"/>
      <c r="Q692" s="78"/>
      <c r="R692" s="78"/>
      <c r="S692" s="78"/>
    </row>
    <row r="693" spans="1:19" ht="18.75" hidden="1">
      <c r="A693" s="49">
        <v>1</v>
      </c>
      <c r="B693" s="211" t="s">
        <v>211</v>
      </c>
      <c r="C693" s="211"/>
      <c r="D693" s="211"/>
      <c r="E693" s="203">
        <v>344</v>
      </c>
      <c r="F693" s="203"/>
      <c r="G693" s="203"/>
      <c r="H693" s="203"/>
      <c r="I693" s="52" t="e">
        <f>J693/G693</f>
        <v>#DIV/0!</v>
      </c>
      <c r="J693" s="183"/>
      <c r="K693" s="53"/>
      <c r="L693" s="53"/>
      <c r="M693" s="53"/>
      <c r="N693" s="53"/>
      <c r="O693" s="54"/>
      <c r="P693" s="44"/>
      <c r="Q693" s="78"/>
      <c r="R693" s="78"/>
      <c r="S693" s="78"/>
    </row>
    <row r="694" spans="1:19" ht="18.75" hidden="1">
      <c r="A694" s="49"/>
      <c r="B694" s="265" t="s">
        <v>130</v>
      </c>
      <c r="C694" s="265"/>
      <c r="D694" s="265"/>
      <c r="E694" s="203"/>
      <c r="F694" s="203"/>
      <c r="G694" s="203"/>
      <c r="H694" s="203"/>
      <c r="I694" s="49" t="s">
        <v>6</v>
      </c>
      <c r="J694" s="183">
        <f>SUM(J693:J693)</f>
        <v>0</v>
      </c>
      <c r="K694" s="53"/>
      <c r="L694" s="53"/>
      <c r="M694" s="53"/>
      <c r="N694" s="53"/>
      <c r="O694" s="54"/>
      <c r="P694" s="47"/>
      <c r="Q694" s="78"/>
      <c r="R694" s="78"/>
      <c r="S694" s="78"/>
    </row>
    <row r="695" spans="1:19" ht="18.75" hidden="1">
      <c r="A695" s="53"/>
      <c r="B695" s="53" t="s">
        <v>233</v>
      </c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4"/>
      <c r="P695" s="44"/>
      <c r="Q695" s="78"/>
      <c r="R695" s="78"/>
      <c r="S695" s="78"/>
    </row>
    <row r="696" spans="1:19" ht="18.75" hidden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4"/>
      <c r="P696" s="44"/>
      <c r="Q696" s="78"/>
      <c r="R696" s="78"/>
      <c r="S696" s="78"/>
    </row>
    <row r="697" spans="1:19" ht="56.25" hidden="1">
      <c r="A697" s="49" t="s">
        <v>155</v>
      </c>
      <c r="B697" s="259" t="s">
        <v>0</v>
      </c>
      <c r="C697" s="259"/>
      <c r="D697" s="259"/>
      <c r="E697" s="259" t="s">
        <v>168</v>
      </c>
      <c r="F697" s="259"/>
      <c r="G697" s="259" t="s">
        <v>189</v>
      </c>
      <c r="H697" s="259"/>
      <c r="I697" s="61" t="s">
        <v>190</v>
      </c>
      <c r="J697" s="61" t="s">
        <v>191</v>
      </c>
      <c r="K697" s="53"/>
      <c r="L697" s="53"/>
      <c r="M697" s="53"/>
      <c r="N697" s="53"/>
      <c r="O697" s="54"/>
      <c r="P697" s="44"/>
      <c r="Q697" s="78"/>
      <c r="R697" s="78"/>
      <c r="S697" s="78"/>
    </row>
    <row r="698" spans="1:19" ht="18.75" hidden="1">
      <c r="A698" s="187">
        <v>1</v>
      </c>
      <c r="B698" s="203">
        <v>2</v>
      </c>
      <c r="C698" s="203"/>
      <c r="D698" s="203"/>
      <c r="E698" s="203">
        <v>3</v>
      </c>
      <c r="F698" s="203"/>
      <c r="G698" s="203">
        <v>4</v>
      </c>
      <c r="H698" s="203"/>
      <c r="I698" s="187">
        <v>5</v>
      </c>
      <c r="J698" s="187">
        <v>6</v>
      </c>
      <c r="K698" s="193"/>
      <c r="L698" s="193"/>
      <c r="M698" s="193"/>
      <c r="N698" s="193"/>
      <c r="O698" s="62"/>
      <c r="P698" s="45"/>
      <c r="Q698" s="78"/>
      <c r="R698" s="78"/>
      <c r="S698" s="78"/>
    </row>
    <row r="699" spans="1:19" ht="18.75" hidden="1">
      <c r="A699" s="49">
        <v>1</v>
      </c>
      <c r="B699" s="211"/>
      <c r="C699" s="211"/>
      <c r="D699" s="211"/>
      <c r="E699" s="203">
        <v>346</v>
      </c>
      <c r="F699" s="203"/>
      <c r="G699" s="203">
        <v>1</v>
      </c>
      <c r="H699" s="203"/>
      <c r="I699" s="52">
        <f>J699/G699</f>
        <v>0</v>
      </c>
      <c r="J699" s="52"/>
      <c r="K699" s="53"/>
      <c r="L699" s="53"/>
      <c r="M699" s="53"/>
      <c r="N699" s="53"/>
      <c r="O699" s="54"/>
      <c r="P699" s="44"/>
      <c r="Q699" s="78"/>
      <c r="R699" s="78"/>
      <c r="S699" s="78"/>
    </row>
    <row r="700" spans="1:19" ht="18.75" hidden="1">
      <c r="A700" s="49">
        <v>2</v>
      </c>
      <c r="B700" s="211"/>
      <c r="C700" s="211"/>
      <c r="D700" s="211"/>
      <c r="E700" s="203">
        <v>346</v>
      </c>
      <c r="F700" s="203"/>
      <c r="G700" s="203">
        <v>1</v>
      </c>
      <c r="H700" s="203"/>
      <c r="I700" s="52">
        <f>J700/G700</f>
        <v>0</v>
      </c>
      <c r="J700" s="52"/>
      <c r="K700" s="53"/>
      <c r="L700" s="53"/>
      <c r="M700" s="53"/>
      <c r="N700" s="53"/>
      <c r="O700" s="54"/>
      <c r="P700" s="44"/>
      <c r="Q700" s="78"/>
      <c r="R700" s="78"/>
      <c r="S700" s="78"/>
    </row>
    <row r="701" spans="1:19" ht="18.75" hidden="1">
      <c r="A701" s="49">
        <v>3</v>
      </c>
      <c r="B701" s="211"/>
      <c r="C701" s="211"/>
      <c r="D701" s="211"/>
      <c r="E701" s="203">
        <v>346</v>
      </c>
      <c r="F701" s="203"/>
      <c r="G701" s="203">
        <v>1</v>
      </c>
      <c r="H701" s="203"/>
      <c r="I701" s="52">
        <f>J701/G701</f>
        <v>0</v>
      </c>
      <c r="J701" s="52"/>
      <c r="K701" s="53"/>
      <c r="L701" s="53"/>
      <c r="M701" s="53"/>
      <c r="N701" s="53"/>
      <c r="O701" s="54"/>
      <c r="P701" s="44"/>
      <c r="Q701" s="78"/>
      <c r="R701" s="78"/>
      <c r="S701" s="78"/>
    </row>
    <row r="702" spans="1:19" ht="18.75" hidden="1">
      <c r="A702" s="49"/>
      <c r="B702" s="265" t="s">
        <v>130</v>
      </c>
      <c r="C702" s="265"/>
      <c r="D702" s="265"/>
      <c r="E702" s="203"/>
      <c r="F702" s="203"/>
      <c r="G702" s="203"/>
      <c r="H702" s="203"/>
      <c r="I702" s="49" t="s">
        <v>6</v>
      </c>
      <c r="J702" s="52">
        <f>SUM(J699:J701)</f>
        <v>0</v>
      </c>
      <c r="K702" s="53"/>
      <c r="L702" s="53"/>
      <c r="M702" s="53"/>
      <c r="N702" s="53"/>
      <c r="O702" s="54"/>
      <c r="P702" s="46"/>
      <c r="Q702" s="78"/>
      <c r="R702" s="78"/>
      <c r="S702" s="78"/>
    </row>
    <row r="703" spans="1:19" ht="18.75" hidden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4"/>
      <c r="P703" s="44"/>
      <c r="Q703" s="78"/>
      <c r="R703" s="78"/>
      <c r="S703" s="78"/>
    </row>
    <row r="704" spans="1:19" ht="18.75">
      <c r="A704" s="53"/>
      <c r="B704" s="53" t="s">
        <v>401</v>
      </c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4"/>
      <c r="P704" s="44"/>
      <c r="Q704" s="78"/>
      <c r="R704" s="78"/>
      <c r="S704" s="78"/>
    </row>
    <row r="705" spans="1:19" ht="18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4"/>
      <c r="P705" s="44"/>
      <c r="Q705" s="78"/>
      <c r="R705" s="78"/>
      <c r="S705" s="78"/>
    </row>
    <row r="706" spans="1:19" ht="18.75">
      <c r="A706" s="35"/>
      <c r="B706" s="53" t="s">
        <v>179</v>
      </c>
      <c r="C706" s="53"/>
      <c r="D706" s="140">
        <v>850</v>
      </c>
      <c r="E706" s="140"/>
      <c r="F706" s="56"/>
      <c r="G706" s="56"/>
      <c r="H706" s="53"/>
      <c r="I706" s="53"/>
      <c r="J706" s="53"/>
      <c r="K706" s="53"/>
      <c r="L706" s="53"/>
      <c r="M706" s="53"/>
      <c r="N706" s="53"/>
      <c r="O706" s="54"/>
      <c r="P706" s="44"/>
      <c r="Q706" s="78"/>
      <c r="R706" s="78"/>
      <c r="S706" s="78"/>
    </row>
    <row r="707" spans="1:19" ht="18.75">
      <c r="A707" s="35"/>
      <c r="B707" s="53" t="s">
        <v>153</v>
      </c>
      <c r="C707" s="53"/>
      <c r="D707" s="93"/>
      <c r="E707" s="56"/>
      <c r="F707" s="93"/>
      <c r="G707" s="140" t="s">
        <v>154</v>
      </c>
      <c r="H707" s="53"/>
      <c r="I707" s="53"/>
      <c r="J707" s="53"/>
      <c r="K707" s="53"/>
      <c r="L707" s="53"/>
      <c r="M707" s="53"/>
      <c r="N707" s="53"/>
      <c r="O707" s="54"/>
      <c r="P707" s="44"/>
      <c r="Q707" s="78"/>
      <c r="R707" s="78"/>
      <c r="S707" s="78"/>
    </row>
    <row r="708" spans="1:19" ht="18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4"/>
      <c r="P708" s="44"/>
      <c r="Q708" s="78"/>
      <c r="R708" s="78"/>
      <c r="S708" s="78"/>
    </row>
    <row r="709" spans="1:19" ht="18.75">
      <c r="A709" s="53"/>
      <c r="B709" s="57" t="s">
        <v>402</v>
      </c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3"/>
      <c r="O709" s="54"/>
      <c r="P709" s="44"/>
      <c r="Q709" s="78"/>
      <c r="R709" s="78"/>
      <c r="S709" s="78"/>
    </row>
    <row r="710" spans="1:19" ht="18.75">
      <c r="A710" s="35"/>
      <c r="B710" s="53" t="s">
        <v>179</v>
      </c>
      <c r="C710" s="53"/>
      <c r="D710" s="140">
        <v>851</v>
      </c>
      <c r="E710" s="140"/>
      <c r="F710" s="56"/>
      <c r="G710" s="56"/>
      <c r="H710" s="53"/>
      <c r="I710" s="53"/>
      <c r="J710" s="53"/>
      <c r="K710" s="58"/>
      <c r="L710" s="58"/>
      <c r="M710" s="58"/>
      <c r="N710" s="53"/>
      <c r="O710" s="54"/>
      <c r="P710" s="44"/>
      <c r="Q710" s="78"/>
      <c r="R710" s="78"/>
      <c r="S710" s="78"/>
    </row>
    <row r="711" spans="1:19" ht="18.7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3"/>
      <c r="O711" s="54"/>
      <c r="P711" s="44"/>
      <c r="Q711" s="78"/>
      <c r="R711" s="78"/>
      <c r="S711" s="78"/>
    </row>
    <row r="712" spans="1:19" ht="93.75">
      <c r="A712" s="49" t="s">
        <v>155</v>
      </c>
      <c r="B712" s="259" t="s">
        <v>0</v>
      </c>
      <c r="C712" s="259"/>
      <c r="D712" s="259"/>
      <c r="E712" s="259" t="s">
        <v>168</v>
      </c>
      <c r="F712" s="259"/>
      <c r="G712" s="259" t="s">
        <v>212</v>
      </c>
      <c r="H712" s="259"/>
      <c r="I712" s="61" t="s">
        <v>213</v>
      </c>
      <c r="J712" s="61" t="s">
        <v>214</v>
      </c>
      <c r="K712" s="53"/>
      <c r="L712" s="53"/>
      <c r="M712" s="53"/>
      <c r="N712" s="53"/>
      <c r="O712" s="54"/>
      <c r="P712" s="44"/>
      <c r="Q712" s="78" t="s">
        <v>316</v>
      </c>
      <c r="R712" s="78">
        <f>Q715+Q714</f>
        <v>236622</v>
      </c>
      <c r="S712" s="78"/>
    </row>
    <row r="713" spans="1:19" ht="18.75">
      <c r="A713" s="187">
        <v>1</v>
      </c>
      <c r="B713" s="203">
        <v>2</v>
      </c>
      <c r="C713" s="203"/>
      <c r="D713" s="203"/>
      <c r="E713" s="203">
        <v>3</v>
      </c>
      <c r="F713" s="203"/>
      <c r="G713" s="203">
        <v>4</v>
      </c>
      <c r="H713" s="203"/>
      <c r="I713" s="187">
        <v>5</v>
      </c>
      <c r="J713" s="187">
        <v>6</v>
      </c>
      <c r="K713" s="193"/>
      <c r="L713" s="193"/>
      <c r="M713" s="193"/>
      <c r="N713" s="193"/>
      <c r="O713" s="62"/>
      <c r="P713" s="45"/>
      <c r="Q713" s="78"/>
      <c r="R713" s="78"/>
      <c r="S713" s="78"/>
    </row>
    <row r="714" spans="1:19" ht="18.75">
      <c r="A714" s="49">
        <v>1</v>
      </c>
      <c r="B714" s="198" t="s">
        <v>386</v>
      </c>
      <c r="C714" s="199"/>
      <c r="D714" s="200"/>
      <c r="E714" s="201">
        <v>291</v>
      </c>
      <c r="F714" s="202"/>
      <c r="G714" s="243">
        <f>J714/I714</f>
        <v>20584060.666666664</v>
      </c>
      <c r="H714" s="244"/>
      <c r="I714" s="64">
        <v>0.015</v>
      </c>
      <c r="J714" s="52">
        <v>308760.91</v>
      </c>
      <c r="K714" s="193"/>
      <c r="L714" s="193"/>
      <c r="M714" s="193"/>
      <c r="N714" s="193"/>
      <c r="O714" s="62"/>
      <c r="P714" s="78">
        <v>116346</v>
      </c>
      <c r="Q714" s="78">
        <f>108288+108288</f>
        <v>216576</v>
      </c>
      <c r="R714" s="78">
        <f>J714-Q714</f>
        <v>92184.90999999997</v>
      </c>
      <c r="S714" s="78"/>
    </row>
    <row r="715" spans="1:19" ht="18.75">
      <c r="A715" s="49">
        <v>2</v>
      </c>
      <c r="B715" s="198" t="s">
        <v>215</v>
      </c>
      <c r="C715" s="199"/>
      <c r="D715" s="200"/>
      <c r="E715" s="203">
        <v>291</v>
      </c>
      <c r="F715" s="203"/>
      <c r="G715" s="243">
        <f>J715/I715</f>
        <v>2267909.090909091</v>
      </c>
      <c r="H715" s="244"/>
      <c r="I715" s="64">
        <v>0.022</v>
      </c>
      <c r="J715" s="52">
        <v>49894</v>
      </c>
      <c r="K715" s="53"/>
      <c r="L715" s="53"/>
      <c r="M715" s="53"/>
      <c r="N715" s="53"/>
      <c r="O715" s="54"/>
      <c r="P715" s="44"/>
      <c r="Q715" s="78">
        <f>9296+5772+4978</f>
        <v>20046</v>
      </c>
      <c r="R715" s="78">
        <f>J715-Q715</f>
        <v>29848</v>
      </c>
      <c r="S715" s="78"/>
    </row>
    <row r="716" spans="1:19" ht="18.75">
      <c r="A716" s="49"/>
      <c r="B716" s="203" t="s">
        <v>130</v>
      </c>
      <c r="C716" s="203"/>
      <c r="D716" s="203"/>
      <c r="E716" s="203"/>
      <c r="F716" s="203"/>
      <c r="G716" s="203"/>
      <c r="H716" s="203"/>
      <c r="I716" s="49" t="s">
        <v>6</v>
      </c>
      <c r="J716" s="52">
        <f>SUM(J714:J715)</f>
        <v>358654.91</v>
      </c>
      <c r="K716" s="53"/>
      <c r="L716" s="53"/>
      <c r="M716" s="53"/>
      <c r="N716" s="53"/>
      <c r="O716" s="54"/>
      <c r="P716" s="44"/>
      <c r="Q716" s="78"/>
      <c r="R716" s="78"/>
      <c r="S716" s="78"/>
    </row>
    <row r="717" spans="1:19" ht="18.7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8"/>
      <c r="L717" s="58"/>
      <c r="M717" s="58"/>
      <c r="N717" s="53"/>
      <c r="O717" s="54"/>
      <c r="P717" s="44"/>
      <c r="Q717" s="78"/>
      <c r="R717" s="78"/>
      <c r="S717" s="78"/>
    </row>
    <row r="718" spans="1:19" ht="18.75">
      <c r="A718" s="53"/>
      <c r="B718" s="57" t="s">
        <v>403</v>
      </c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3"/>
      <c r="O718" s="54"/>
      <c r="P718" s="46"/>
      <c r="Q718" s="78"/>
      <c r="R718" s="78"/>
      <c r="S718" s="78"/>
    </row>
    <row r="719" spans="1:19" ht="18.75">
      <c r="A719" s="35"/>
      <c r="B719" s="53" t="s">
        <v>179</v>
      </c>
      <c r="C719" s="53"/>
      <c r="D719" s="140">
        <v>853</v>
      </c>
      <c r="E719" s="140"/>
      <c r="F719" s="56"/>
      <c r="G719" s="56"/>
      <c r="H719" s="53"/>
      <c r="I719" s="53"/>
      <c r="J719" s="53"/>
      <c r="K719" s="58"/>
      <c r="L719" s="58"/>
      <c r="M719" s="58"/>
      <c r="N719" s="53"/>
      <c r="O719" s="54"/>
      <c r="P719" s="46"/>
      <c r="Q719" s="78"/>
      <c r="R719" s="78"/>
      <c r="S719" s="78"/>
    </row>
    <row r="720" spans="1:19" ht="18.7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3"/>
      <c r="O720" s="54"/>
      <c r="P720" s="46"/>
      <c r="Q720" s="78"/>
      <c r="R720" s="78"/>
      <c r="S720" s="78"/>
    </row>
    <row r="721" spans="1:19" ht="93.75">
      <c r="A721" s="49" t="s">
        <v>155</v>
      </c>
      <c r="B721" s="259" t="s">
        <v>0</v>
      </c>
      <c r="C721" s="259"/>
      <c r="D721" s="259"/>
      <c r="E721" s="259" t="s">
        <v>168</v>
      </c>
      <c r="F721" s="259"/>
      <c r="G721" s="259" t="s">
        <v>212</v>
      </c>
      <c r="H721" s="259"/>
      <c r="I721" s="61" t="s">
        <v>213</v>
      </c>
      <c r="J721" s="61" t="s">
        <v>214</v>
      </c>
      <c r="K721" s="53"/>
      <c r="L721" s="53"/>
      <c r="M721" s="53"/>
      <c r="N721" s="53"/>
      <c r="O721" s="54"/>
      <c r="P721" s="46"/>
      <c r="Q721" s="78"/>
      <c r="R721" s="78"/>
      <c r="S721" s="78"/>
    </row>
    <row r="722" spans="1:19" ht="18.75">
      <c r="A722" s="187">
        <v>1</v>
      </c>
      <c r="B722" s="203">
        <v>2</v>
      </c>
      <c r="C722" s="203"/>
      <c r="D722" s="203"/>
      <c r="E722" s="203">
        <v>3</v>
      </c>
      <c r="F722" s="203"/>
      <c r="G722" s="203">
        <v>4</v>
      </c>
      <c r="H722" s="203"/>
      <c r="I722" s="187">
        <v>5</v>
      </c>
      <c r="J722" s="187">
        <v>6</v>
      </c>
      <c r="K722" s="193"/>
      <c r="L722" s="193"/>
      <c r="M722" s="193"/>
      <c r="N722" s="193"/>
      <c r="O722" s="62"/>
      <c r="P722" s="46"/>
      <c r="Q722" s="78" t="s">
        <v>317</v>
      </c>
      <c r="R722" s="78">
        <f>Q724</f>
        <v>12104.25</v>
      </c>
      <c r="S722" s="78"/>
    </row>
    <row r="723" spans="1:19" ht="18.75">
      <c r="A723" s="49">
        <v>1</v>
      </c>
      <c r="B723" s="198" t="s">
        <v>216</v>
      </c>
      <c r="C723" s="199"/>
      <c r="D723" s="200"/>
      <c r="E723" s="203">
        <v>291</v>
      </c>
      <c r="F723" s="203"/>
      <c r="G723" s="243">
        <f>J723/I723</f>
        <v>3026.0625</v>
      </c>
      <c r="H723" s="244"/>
      <c r="I723" s="187">
        <v>4</v>
      </c>
      <c r="J723" s="52">
        <f>10600+1504.25</f>
        <v>12104.25</v>
      </c>
      <c r="K723" s="53"/>
      <c r="L723" s="53"/>
      <c r="M723" s="53"/>
      <c r="N723" s="53"/>
      <c r="O723" s="54"/>
      <c r="P723" s="46"/>
      <c r="Q723" s="78"/>
      <c r="R723" s="78"/>
      <c r="S723" s="78"/>
    </row>
    <row r="724" spans="1:19" ht="18.75">
      <c r="A724" s="49"/>
      <c r="B724" s="203" t="s">
        <v>130</v>
      </c>
      <c r="C724" s="203"/>
      <c r="D724" s="203"/>
      <c r="E724" s="203"/>
      <c r="F724" s="203"/>
      <c r="G724" s="203"/>
      <c r="H724" s="203"/>
      <c r="I724" s="49" t="s">
        <v>6</v>
      </c>
      <c r="J724" s="52">
        <f>SUM(J723:J723)</f>
        <v>12104.25</v>
      </c>
      <c r="K724" s="53"/>
      <c r="L724" s="53"/>
      <c r="M724" s="53"/>
      <c r="N724" s="53"/>
      <c r="O724" s="54"/>
      <c r="P724" s="46"/>
      <c r="Q724" s="78">
        <f>7095.65+2504.3+2504.3</f>
        <v>12104.25</v>
      </c>
      <c r="R724" s="78">
        <f>J723-Q724</f>
        <v>0</v>
      </c>
      <c r="S724" s="78"/>
    </row>
    <row r="725" spans="1:19" ht="18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4"/>
      <c r="P725" s="44"/>
      <c r="Q725" s="78"/>
      <c r="R725" s="78"/>
      <c r="S725" s="78"/>
    </row>
    <row r="726" spans="1:19" ht="18.75" hidden="1">
      <c r="A726" s="53"/>
      <c r="B726" s="57" t="s">
        <v>234</v>
      </c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3"/>
      <c r="O726" s="54"/>
      <c r="P726" s="44"/>
      <c r="Q726" s="78"/>
      <c r="R726" s="78"/>
      <c r="S726" s="78"/>
    </row>
    <row r="727" spans="1:19" ht="18.75" hidden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3"/>
      <c r="O727" s="54"/>
      <c r="P727" s="44"/>
      <c r="Q727" s="78"/>
      <c r="R727" s="78"/>
      <c r="S727" s="78"/>
    </row>
    <row r="728" spans="1:19" ht="93" customHeight="1" hidden="1">
      <c r="A728" s="49" t="s">
        <v>155</v>
      </c>
      <c r="B728" s="259" t="s">
        <v>0</v>
      </c>
      <c r="C728" s="259"/>
      <c r="D728" s="259"/>
      <c r="E728" s="259" t="s">
        <v>168</v>
      </c>
      <c r="F728" s="259"/>
      <c r="G728" s="259" t="s">
        <v>212</v>
      </c>
      <c r="H728" s="259"/>
      <c r="I728" s="61" t="s">
        <v>213</v>
      </c>
      <c r="J728" s="61" t="s">
        <v>214</v>
      </c>
      <c r="K728" s="53"/>
      <c r="L728" s="53"/>
      <c r="M728" s="53"/>
      <c r="N728" s="53"/>
      <c r="O728" s="54"/>
      <c r="P728" s="44"/>
      <c r="Q728" s="78"/>
      <c r="R728" s="78"/>
      <c r="S728" s="78"/>
    </row>
    <row r="729" spans="1:19" ht="18.75" hidden="1">
      <c r="A729" s="49">
        <v>1</v>
      </c>
      <c r="B729" s="211" t="s">
        <v>217</v>
      </c>
      <c r="C729" s="211"/>
      <c r="D729" s="211"/>
      <c r="E729" s="203">
        <v>295</v>
      </c>
      <c r="F729" s="203"/>
      <c r="G729" s="261"/>
      <c r="H729" s="261"/>
      <c r="I729" s="49"/>
      <c r="J729" s="52"/>
      <c r="K729" s="53"/>
      <c r="L729" s="53"/>
      <c r="M729" s="53"/>
      <c r="N729" s="53"/>
      <c r="O729" s="54"/>
      <c r="P729" s="44"/>
      <c r="Q729" s="78"/>
      <c r="R729" s="78"/>
      <c r="S729" s="78"/>
    </row>
    <row r="730" spans="1:19" ht="18.75" hidden="1">
      <c r="A730" s="49"/>
      <c r="B730" s="265" t="s">
        <v>130</v>
      </c>
      <c r="C730" s="265"/>
      <c r="D730" s="265"/>
      <c r="E730" s="203"/>
      <c r="F730" s="203"/>
      <c r="G730" s="203"/>
      <c r="H730" s="203"/>
      <c r="I730" s="49" t="s">
        <v>6</v>
      </c>
      <c r="J730" s="52">
        <f>SUM(J729:J729)</f>
        <v>0</v>
      </c>
      <c r="K730" s="53"/>
      <c r="L730" s="53"/>
      <c r="M730" s="53"/>
      <c r="N730" s="53"/>
      <c r="O730" s="54"/>
      <c r="P730" s="46"/>
      <c r="Q730" s="78"/>
      <c r="R730" s="78"/>
      <c r="S730" s="78"/>
    </row>
    <row r="731" spans="1:19" ht="18.75" hidden="1">
      <c r="A731" s="56"/>
      <c r="B731" s="145"/>
      <c r="C731" s="145"/>
      <c r="D731" s="145"/>
      <c r="E731" s="55"/>
      <c r="F731" s="55"/>
      <c r="G731" s="55"/>
      <c r="H731" s="55"/>
      <c r="I731" s="56"/>
      <c r="J731" s="63"/>
      <c r="K731" s="53"/>
      <c r="L731" s="53"/>
      <c r="M731" s="53"/>
      <c r="N731" s="53"/>
      <c r="O731" s="54"/>
      <c r="P731" s="46"/>
      <c r="Q731" s="78"/>
      <c r="R731" s="78"/>
      <c r="S731" s="78"/>
    </row>
    <row r="732" spans="1:19" ht="18.75">
      <c r="A732" s="53"/>
      <c r="B732" s="53" t="s">
        <v>340</v>
      </c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4"/>
      <c r="P732" s="46"/>
      <c r="Q732" s="78"/>
      <c r="R732" s="78"/>
      <c r="S732" s="78"/>
    </row>
    <row r="733" spans="1:19" ht="18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4"/>
      <c r="P733" s="46"/>
      <c r="Q733" s="78"/>
      <c r="R733" s="78"/>
      <c r="S733" s="78"/>
    </row>
    <row r="734" spans="1:19" ht="18.75">
      <c r="A734" s="34"/>
      <c r="B734" s="53" t="s">
        <v>179</v>
      </c>
      <c r="C734" s="34"/>
      <c r="D734" s="140">
        <v>244</v>
      </c>
      <c r="E734" s="140"/>
      <c r="F734" s="56"/>
      <c r="G734" s="53"/>
      <c r="H734" s="53"/>
      <c r="I734" s="53"/>
      <c r="J734" s="53"/>
      <c r="K734" s="53"/>
      <c r="L734" s="53"/>
      <c r="M734" s="53"/>
      <c r="N734" s="53"/>
      <c r="O734" s="54"/>
      <c r="P734" s="46"/>
      <c r="Q734" s="78"/>
      <c r="R734" s="78"/>
      <c r="S734" s="78"/>
    </row>
    <row r="735" spans="1:19" ht="18.75">
      <c r="A735" s="34"/>
      <c r="B735" s="53" t="s">
        <v>180</v>
      </c>
      <c r="C735" s="93"/>
      <c r="D735" s="93"/>
      <c r="E735" s="140" t="s">
        <v>154</v>
      </c>
      <c r="F735" s="140"/>
      <c r="G735" s="140"/>
      <c r="H735" s="140"/>
      <c r="I735" s="140"/>
      <c r="J735" s="140"/>
      <c r="K735" s="53"/>
      <c r="L735" s="53"/>
      <c r="M735" s="53"/>
      <c r="N735" s="53"/>
      <c r="O735" s="54"/>
      <c r="P735" s="46"/>
      <c r="Q735" s="78"/>
      <c r="R735" s="78"/>
      <c r="S735" s="78"/>
    </row>
    <row r="736" spans="1:19" ht="18.75">
      <c r="A736" s="56"/>
      <c r="B736" s="145"/>
      <c r="C736" s="145"/>
      <c r="D736" s="145"/>
      <c r="E736" s="55"/>
      <c r="F736" s="55"/>
      <c r="G736" s="55"/>
      <c r="H736" s="55"/>
      <c r="I736" s="56"/>
      <c r="J736" s="63"/>
      <c r="K736" s="53"/>
      <c r="L736" s="53"/>
      <c r="M736" s="53"/>
      <c r="N736" s="53"/>
      <c r="O736" s="54"/>
      <c r="P736" s="46"/>
      <c r="Q736" s="78"/>
      <c r="R736" s="78"/>
      <c r="S736" s="78"/>
    </row>
    <row r="737" spans="1:19" ht="18.75">
      <c r="A737" s="56"/>
      <c r="B737" s="145"/>
      <c r="C737" s="145"/>
      <c r="D737" s="145"/>
      <c r="E737" s="55"/>
      <c r="F737" s="55"/>
      <c r="G737" s="55"/>
      <c r="H737" s="55"/>
      <c r="I737" s="56"/>
      <c r="J737" s="63"/>
      <c r="K737" s="53"/>
      <c r="L737" s="53"/>
      <c r="M737" s="53"/>
      <c r="N737" s="53"/>
      <c r="O737" s="54"/>
      <c r="P737" s="46"/>
      <c r="Q737" s="78"/>
      <c r="R737" s="78"/>
      <c r="S737" s="78"/>
    </row>
    <row r="738" spans="1:19" ht="18.75">
      <c r="A738" s="53"/>
      <c r="B738" s="53" t="s">
        <v>404</v>
      </c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4"/>
      <c r="P738" s="46"/>
      <c r="Q738" s="78"/>
      <c r="R738" s="78"/>
      <c r="S738" s="78"/>
    </row>
    <row r="739" spans="1:19" ht="18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4"/>
      <c r="P739" s="46"/>
      <c r="Q739" s="78"/>
      <c r="R739" s="78"/>
      <c r="S739" s="78"/>
    </row>
    <row r="740" spans="1:19" ht="56.25">
      <c r="A740" s="49" t="s">
        <v>155</v>
      </c>
      <c r="B740" s="259" t="s">
        <v>0</v>
      </c>
      <c r="C740" s="259"/>
      <c r="D740" s="259"/>
      <c r="E740" s="259" t="s">
        <v>168</v>
      </c>
      <c r="F740" s="259"/>
      <c r="G740" s="259" t="s">
        <v>189</v>
      </c>
      <c r="H740" s="259"/>
      <c r="I740" s="61" t="s">
        <v>190</v>
      </c>
      <c r="J740" s="61" t="s">
        <v>219</v>
      </c>
      <c r="K740" s="53"/>
      <c r="L740" s="53"/>
      <c r="M740" s="53"/>
      <c r="N740" s="53"/>
      <c r="O740" s="54"/>
      <c r="P740" s="46"/>
      <c r="Q740" s="78"/>
      <c r="R740" s="78"/>
      <c r="S740" s="78"/>
    </row>
    <row r="741" spans="1:19" ht="18.75">
      <c r="A741" s="187">
        <v>1</v>
      </c>
      <c r="B741" s="203">
        <v>2</v>
      </c>
      <c r="C741" s="203"/>
      <c r="D741" s="203"/>
      <c r="E741" s="203">
        <v>3</v>
      </c>
      <c r="F741" s="203"/>
      <c r="G741" s="203">
        <v>4</v>
      </c>
      <c r="H741" s="203"/>
      <c r="I741" s="187">
        <v>5</v>
      </c>
      <c r="J741" s="187">
        <v>6</v>
      </c>
      <c r="K741" s="193"/>
      <c r="L741" s="53"/>
      <c r="M741" s="53"/>
      <c r="N741" s="53"/>
      <c r="O741" s="54"/>
      <c r="P741" s="46"/>
      <c r="Q741" s="78" t="s">
        <v>338</v>
      </c>
      <c r="R741" s="78">
        <f>Q742</f>
        <v>0</v>
      </c>
      <c r="S741" s="78"/>
    </row>
    <row r="742" spans="1:19" ht="71.25" customHeight="1">
      <c r="A742" s="49">
        <v>1</v>
      </c>
      <c r="B742" s="211" t="s">
        <v>339</v>
      </c>
      <c r="C742" s="211"/>
      <c r="D742" s="211"/>
      <c r="E742" s="203">
        <v>344</v>
      </c>
      <c r="F742" s="203"/>
      <c r="G742" s="203">
        <v>200</v>
      </c>
      <c r="H742" s="203"/>
      <c r="I742" s="52">
        <f>J742/G742</f>
        <v>500</v>
      </c>
      <c r="J742" s="52">
        <v>100000</v>
      </c>
      <c r="K742" s="53"/>
      <c r="L742" s="53"/>
      <c r="M742" s="53"/>
      <c r="N742" s="53"/>
      <c r="O742" s="54"/>
      <c r="P742" s="46"/>
      <c r="Q742" s="78"/>
      <c r="R742" s="78">
        <f>J742-Q742</f>
        <v>100000</v>
      </c>
      <c r="S742" s="78"/>
    </row>
    <row r="743" spans="1:19" ht="18.75">
      <c r="A743" s="49"/>
      <c r="B743" s="201" t="s">
        <v>130</v>
      </c>
      <c r="C743" s="226"/>
      <c r="D743" s="202"/>
      <c r="E743" s="203"/>
      <c r="F743" s="203"/>
      <c r="G743" s="203"/>
      <c r="H743" s="203"/>
      <c r="I743" s="49" t="s">
        <v>6</v>
      </c>
      <c r="J743" s="52">
        <f>SUM(J742:J742)</f>
        <v>100000</v>
      </c>
      <c r="K743" s="53"/>
      <c r="L743" s="53"/>
      <c r="M743" s="53"/>
      <c r="N743" s="53"/>
      <c r="O743" s="54"/>
      <c r="P743" s="46"/>
      <c r="Q743" s="78"/>
      <c r="R743" s="78"/>
      <c r="S743" s="78"/>
    </row>
    <row r="744" spans="1:19" ht="18.75">
      <c r="A744" s="56"/>
      <c r="B744" s="145"/>
      <c r="C744" s="145"/>
      <c r="D744" s="145"/>
      <c r="E744" s="55"/>
      <c r="F744" s="55"/>
      <c r="G744" s="55"/>
      <c r="H744" s="55"/>
      <c r="I744" s="56"/>
      <c r="J744" s="63"/>
      <c r="K744" s="53"/>
      <c r="L744" s="53"/>
      <c r="M744" s="53"/>
      <c r="N744" s="53"/>
      <c r="O744" s="54"/>
      <c r="P744" s="46"/>
      <c r="Q744" s="78"/>
      <c r="R744" s="78"/>
      <c r="S744" s="78"/>
    </row>
    <row r="745" spans="1:19" ht="18.75">
      <c r="A745" s="53"/>
      <c r="B745" s="53" t="s">
        <v>405</v>
      </c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4"/>
      <c r="P745" s="46"/>
      <c r="Q745" s="78"/>
      <c r="R745" s="78"/>
      <c r="S745" s="78"/>
    </row>
    <row r="746" spans="1:19" ht="18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4"/>
      <c r="P746" s="46"/>
      <c r="Q746" s="78"/>
      <c r="R746" s="78"/>
      <c r="S746" s="78"/>
    </row>
    <row r="747" spans="1:19" ht="56.25">
      <c r="A747" s="49" t="s">
        <v>155</v>
      </c>
      <c r="B747" s="259" t="s">
        <v>0</v>
      </c>
      <c r="C747" s="259"/>
      <c r="D747" s="259"/>
      <c r="E747" s="259" t="s">
        <v>168</v>
      </c>
      <c r="F747" s="259"/>
      <c r="G747" s="259" t="s">
        <v>354</v>
      </c>
      <c r="H747" s="259"/>
      <c r="I747" s="61" t="s">
        <v>190</v>
      </c>
      <c r="J747" s="61" t="s">
        <v>219</v>
      </c>
      <c r="K747" s="53"/>
      <c r="L747" s="53"/>
      <c r="M747" s="53"/>
      <c r="N747" s="53"/>
      <c r="O747" s="54"/>
      <c r="P747" s="46"/>
      <c r="Q747" s="78"/>
      <c r="R747" s="78"/>
      <c r="S747" s="78"/>
    </row>
    <row r="748" spans="1:19" ht="18.75">
      <c r="A748" s="187">
        <v>1</v>
      </c>
      <c r="B748" s="203">
        <v>2</v>
      </c>
      <c r="C748" s="203"/>
      <c r="D748" s="203"/>
      <c r="E748" s="203">
        <v>3</v>
      </c>
      <c r="F748" s="203"/>
      <c r="G748" s="203">
        <v>4</v>
      </c>
      <c r="H748" s="203"/>
      <c r="I748" s="187">
        <v>5</v>
      </c>
      <c r="J748" s="187">
        <v>6</v>
      </c>
      <c r="K748" s="193"/>
      <c r="L748" s="53"/>
      <c r="M748" s="53"/>
      <c r="N748" s="53"/>
      <c r="O748" s="54"/>
      <c r="P748" s="46"/>
      <c r="Q748" s="78" t="s">
        <v>321</v>
      </c>
      <c r="R748" s="78">
        <f>Q749</f>
        <v>0</v>
      </c>
      <c r="S748" s="78"/>
    </row>
    <row r="749" spans="1:19" ht="33.75" customHeight="1">
      <c r="A749" s="49">
        <v>1</v>
      </c>
      <c r="B749" s="198" t="s">
        <v>417</v>
      </c>
      <c r="C749" s="199"/>
      <c r="D749" s="200"/>
      <c r="E749" s="201">
        <v>346</v>
      </c>
      <c r="F749" s="202"/>
      <c r="G749" s="201">
        <v>207</v>
      </c>
      <c r="H749" s="202"/>
      <c r="I749" s="52">
        <f>J749/G749</f>
        <v>300.1974879227053</v>
      </c>
      <c r="J749" s="52">
        <v>62140.88</v>
      </c>
      <c r="K749" s="53"/>
      <c r="L749" s="53"/>
      <c r="M749" s="53"/>
      <c r="N749" s="53"/>
      <c r="O749" s="54"/>
      <c r="P749" s="46"/>
      <c r="Q749" s="78"/>
      <c r="R749" s="78">
        <f>J749-Q749</f>
        <v>62140.88</v>
      </c>
      <c r="S749" s="78"/>
    </row>
    <row r="750" spans="1:19" ht="18.75">
      <c r="A750" s="49"/>
      <c r="B750" s="201" t="s">
        <v>130</v>
      </c>
      <c r="C750" s="226"/>
      <c r="D750" s="202"/>
      <c r="E750" s="203"/>
      <c r="F750" s="203"/>
      <c r="G750" s="203"/>
      <c r="H750" s="203"/>
      <c r="I750" s="49" t="s">
        <v>6</v>
      </c>
      <c r="J750" s="52">
        <f>SUM(J749:J749)</f>
        <v>62140.88</v>
      </c>
      <c r="K750" s="53"/>
      <c r="L750" s="53"/>
      <c r="M750" s="53"/>
      <c r="N750" s="53"/>
      <c r="O750" s="54"/>
      <c r="P750" s="46"/>
      <c r="Q750" s="78"/>
      <c r="R750" s="78"/>
      <c r="S750" s="78"/>
    </row>
    <row r="751" spans="1:19" ht="18.75">
      <c r="A751" s="56"/>
      <c r="B751" s="145"/>
      <c r="C751" s="145"/>
      <c r="D751" s="145"/>
      <c r="E751" s="55"/>
      <c r="F751" s="55"/>
      <c r="G751" s="55"/>
      <c r="H751" s="55"/>
      <c r="I751" s="56"/>
      <c r="J751" s="63"/>
      <c r="K751" s="53"/>
      <c r="L751" s="53"/>
      <c r="M751" s="53"/>
      <c r="N751" s="53"/>
      <c r="O751" s="54"/>
      <c r="P751" s="46"/>
      <c r="Q751" s="78"/>
      <c r="R751" s="78"/>
      <c r="S751" s="78"/>
    </row>
    <row r="752" spans="1:19" ht="18.75">
      <c r="A752" s="56"/>
      <c r="B752" s="56"/>
      <c r="C752" s="56"/>
      <c r="D752" s="56"/>
      <c r="E752" s="56"/>
      <c r="F752" s="56"/>
      <c r="G752" s="152"/>
      <c r="H752" s="53"/>
      <c r="I752" s="53"/>
      <c r="J752" s="53"/>
      <c r="K752" s="53"/>
      <c r="L752" s="53"/>
      <c r="M752" s="53"/>
      <c r="N752" s="53"/>
      <c r="O752" s="54"/>
      <c r="P752" s="46"/>
      <c r="Q752" s="78"/>
      <c r="R752" s="78"/>
      <c r="S752" s="78"/>
    </row>
    <row r="753" spans="1:21" ht="18.75">
      <c r="A753" s="53"/>
      <c r="B753" s="53" t="s">
        <v>288</v>
      </c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4"/>
      <c r="P753" s="82"/>
      <c r="Q753" s="83"/>
      <c r="R753" s="83"/>
      <c r="S753" s="84"/>
      <c r="T753" s="84"/>
      <c r="U753" s="84"/>
    </row>
    <row r="754" spans="1:21" ht="18.75">
      <c r="A754" s="35"/>
      <c r="B754" s="53" t="s">
        <v>179</v>
      </c>
      <c r="C754" s="53"/>
      <c r="D754" s="192">
        <v>244</v>
      </c>
      <c r="E754" s="56"/>
      <c r="F754" s="56"/>
      <c r="G754" s="56"/>
      <c r="H754" s="53"/>
      <c r="I754" s="53"/>
      <c r="J754" s="53"/>
      <c r="K754" s="53"/>
      <c r="L754" s="53"/>
      <c r="M754" s="53"/>
      <c r="N754" s="53"/>
      <c r="O754" s="54"/>
      <c r="P754" s="82"/>
      <c r="Q754" s="83"/>
      <c r="R754" s="83"/>
      <c r="S754" s="84"/>
      <c r="T754" s="84"/>
      <c r="U754" s="84"/>
    </row>
    <row r="755" spans="1:21" ht="18.75">
      <c r="A755" s="35"/>
      <c r="B755" s="53" t="s">
        <v>153</v>
      </c>
      <c r="C755" s="53"/>
      <c r="D755" s="93"/>
      <c r="E755" s="62"/>
      <c r="F755" s="56" t="s">
        <v>330</v>
      </c>
      <c r="G755" s="56"/>
      <c r="H755" s="53"/>
      <c r="I755" s="53"/>
      <c r="J755" s="53"/>
      <c r="K755" s="53"/>
      <c r="L755" s="53"/>
      <c r="M755" s="53"/>
      <c r="N755" s="53"/>
      <c r="O755" s="54"/>
      <c r="P755" s="82"/>
      <c r="Q755" s="83"/>
      <c r="R755" s="83"/>
      <c r="S755" s="84"/>
      <c r="T755" s="84"/>
      <c r="U755" s="84"/>
    </row>
    <row r="756" spans="1:21" ht="18.75">
      <c r="A756" s="35"/>
      <c r="B756" s="53"/>
      <c r="C756" s="53"/>
      <c r="D756" s="93"/>
      <c r="E756" s="62"/>
      <c r="F756" s="56"/>
      <c r="G756" s="56"/>
      <c r="H756" s="53"/>
      <c r="I756" s="53"/>
      <c r="J756" s="53"/>
      <c r="K756" s="53"/>
      <c r="L756" s="53"/>
      <c r="M756" s="53"/>
      <c r="N756" s="53"/>
      <c r="O756" s="54"/>
      <c r="P756" s="82"/>
      <c r="Q756" s="83"/>
      <c r="R756" s="83"/>
      <c r="S756" s="84"/>
      <c r="T756" s="84"/>
      <c r="U756" s="84"/>
    </row>
    <row r="757" spans="1:21" ht="18.75">
      <c r="A757" s="94"/>
      <c r="B757" s="53" t="s">
        <v>387</v>
      </c>
      <c r="C757" s="53"/>
      <c r="D757" s="53"/>
      <c r="E757" s="53"/>
      <c r="F757" s="53"/>
      <c r="G757" s="53"/>
      <c r="H757" s="53"/>
      <c r="I757" s="53"/>
      <c r="J757" s="53"/>
      <c r="K757" s="95"/>
      <c r="L757" s="95"/>
      <c r="M757" s="95"/>
      <c r="N757" s="95"/>
      <c r="O757" s="98"/>
      <c r="P757" s="85"/>
      <c r="Q757" s="87"/>
      <c r="R757" s="87"/>
      <c r="S757" s="87"/>
      <c r="T757" s="87"/>
      <c r="U757" s="87"/>
    </row>
    <row r="758" spans="1:21" ht="18.75">
      <c r="A758" s="94"/>
      <c r="B758" s="94"/>
      <c r="C758" s="94"/>
      <c r="D758" s="94"/>
      <c r="E758" s="94"/>
      <c r="F758" s="96"/>
      <c r="G758" s="97"/>
      <c r="H758" s="97"/>
      <c r="I758" s="97"/>
      <c r="J758" s="95"/>
      <c r="K758" s="95"/>
      <c r="L758" s="95"/>
      <c r="M758" s="95"/>
      <c r="N758" s="95"/>
      <c r="O758" s="98"/>
      <c r="P758" s="85"/>
      <c r="Q758" s="87"/>
      <c r="R758" s="133"/>
      <c r="S758" s="87"/>
      <c r="T758" s="87"/>
      <c r="U758" s="87"/>
    </row>
    <row r="759" spans="1:21" ht="56.25">
      <c r="A759" s="99" t="s">
        <v>155</v>
      </c>
      <c r="B759" s="216" t="s">
        <v>0</v>
      </c>
      <c r="C759" s="217"/>
      <c r="D759" s="217"/>
      <c r="E759" s="218"/>
      <c r="F759" s="216" t="s">
        <v>157</v>
      </c>
      <c r="G759" s="218"/>
      <c r="H759" s="100" t="s">
        <v>369</v>
      </c>
      <c r="I759" s="100" t="s">
        <v>190</v>
      </c>
      <c r="J759" s="216" t="s">
        <v>219</v>
      </c>
      <c r="K759" s="218"/>
      <c r="L759" s="101"/>
      <c r="M759" s="101"/>
      <c r="N759" s="101"/>
      <c r="O759" s="102"/>
      <c r="P759" s="88"/>
      <c r="Q759" s="78" t="s">
        <v>319</v>
      </c>
      <c r="R759" s="78">
        <f>N90+R771+R778+R795+R802+R814+R845+R853+R898+R909+R786+R832+R822</f>
        <v>742519.8700000001</v>
      </c>
      <c r="S759" s="89"/>
      <c r="T759" s="89"/>
      <c r="U759" s="88"/>
    </row>
    <row r="760" spans="1:21" ht="18.75">
      <c r="A760" s="103">
        <v>1</v>
      </c>
      <c r="B760" s="268">
        <v>2</v>
      </c>
      <c r="C760" s="269"/>
      <c r="D760" s="269"/>
      <c r="E760" s="270"/>
      <c r="F760" s="268">
        <v>3</v>
      </c>
      <c r="G760" s="270"/>
      <c r="H760" s="104">
        <v>4</v>
      </c>
      <c r="I760" s="104">
        <v>5</v>
      </c>
      <c r="J760" s="268">
        <v>6</v>
      </c>
      <c r="K760" s="270"/>
      <c r="L760" s="105"/>
      <c r="M760" s="105"/>
      <c r="N760" s="105"/>
      <c r="O760" s="106"/>
      <c r="P760" s="90"/>
      <c r="Q760" s="78" t="s">
        <v>374</v>
      </c>
      <c r="R760" s="78">
        <f>Q761</f>
        <v>0</v>
      </c>
      <c r="S760" s="90"/>
      <c r="T760" s="91">
        <f>2034610.45-R759</f>
        <v>1292090.5799999998</v>
      </c>
      <c r="U760" s="91"/>
    </row>
    <row r="761" spans="1:21" ht="84" customHeight="1">
      <c r="A761" s="107">
        <v>1</v>
      </c>
      <c r="B761" s="204" t="s">
        <v>388</v>
      </c>
      <c r="C761" s="205"/>
      <c r="D761" s="205"/>
      <c r="E761" s="206"/>
      <c r="F761" s="268">
        <v>310</v>
      </c>
      <c r="G761" s="270"/>
      <c r="H761" s="104">
        <v>1</v>
      </c>
      <c r="I761" s="108">
        <f>J761/H761</f>
        <v>0</v>
      </c>
      <c r="J761" s="271">
        <f>224820.19-224820.19</f>
        <v>0</v>
      </c>
      <c r="K761" s="272"/>
      <c r="L761" s="97"/>
      <c r="M761" s="97"/>
      <c r="N761" s="97"/>
      <c r="O761" s="95"/>
      <c r="P761" s="85"/>
      <c r="Q761" s="92">
        <v>0</v>
      </c>
      <c r="R761" s="132">
        <f>J761-Q761</f>
        <v>0</v>
      </c>
      <c r="S761" s="85"/>
      <c r="T761" s="92"/>
      <c r="U761" s="92"/>
    </row>
    <row r="762" spans="1:21" ht="41.25" customHeight="1">
      <c r="A762" s="107"/>
      <c r="B762" s="212" t="s">
        <v>130</v>
      </c>
      <c r="C762" s="213"/>
      <c r="D762" s="213"/>
      <c r="E762" s="214"/>
      <c r="F762" s="207"/>
      <c r="G762" s="208"/>
      <c r="H762" s="107" t="s">
        <v>172</v>
      </c>
      <c r="I762" s="107" t="s">
        <v>172</v>
      </c>
      <c r="J762" s="266">
        <f>SUM(J761:J761)</f>
        <v>0</v>
      </c>
      <c r="K762" s="267"/>
      <c r="L762" s="97"/>
      <c r="M762" s="97"/>
      <c r="N762" s="97"/>
      <c r="O762" s="95"/>
      <c r="P762" s="85"/>
      <c r="Q762" s="85"/>
      <c r="R762" s="85"/>
      <c r="S762" s="85"/>
      <c r="T762" s="86"/>
      <c r="U762" s="86"/>
    </row>
    <row r="763" spans="1:19" ht="18.75">
      <c r="A763" s="56"/>
      <c r="B763" s="145"/>
      <c r="C763" s="145"/>
      <c r="D763" s="145"/>
      <c r="E763" s="55"/>
      <c r="F763" s="55"/>
      <c r="G763" s="55"/>
      <c r="H763" s="55"/>
      <c r="I763" s="56"/>
      <c r="J763" s="63"/>
      <c r="K763" s="53"/>
      <c r="L763" s="53"/>
      <c r="M763" s="53"/>
      <c r="N763" s="53"/>
      <c r="O763" s="54"/>
      <c r="P763" s="46"/>
      <c r="Q763" s="78"/>
      <c r="R763" s="78"/>
      <c r="S763" s="78"/>
    </row>
    <row r="764" spans="1:21" ht="18.75">
      <c r="A764" s="53"/>
      <c r="B764" s="53" t="s">
        <v>220</v>
      </c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4"/>
      <c r="P764" s="44"/>
      <c r="Q764" s="78"/>
      <c r="R764" s="78"/>
      <c r="S764" s="78"/>
      <c r="T764" s="8" t="s">
        <v>569</v>
      </c>
      <c r="U764" s="80">
        <f>R771+R778+R786+R795+R802</f>
        <v>284384.93</v>
      </c>
    </row>
    <row r="765" spans="1:21" ht="18.75">
      <c r="A765" s="35"/>
      <c r="B765" s="53" t="s">
        <v>179</v>
      </c>
      <c r="C765" s="53"/>
      <c r="D765" s="140">
        <v>244</v>
      </c>
      <c r="E765" s="140"/>
      <c r="F765" s="140"/>
      <c r="G765" s="56"/>
      <c r="H765" s="53"/>
      <c r="I765" s="53"/>
      <c r="J765" s="53"/>
      <c r="K765" s="53"/>
      <c r="L765" s="53"/>
      <c r="M765" s="53"/>
      <c r="N765" s="53"/>
      <c r="O765" s="54"/>
      <c r="P765" s="44"/>
      <c r="Q765" s="78"/>
      <c r="R765" s="78"/>
      <c r="S765" s="78"/>
      <c r="T765" s="8" t="s">
        <v>568</v>
      </c>
      <c r="U765" s="80">
        <f>R845+R853</f>
        <v>18926.47</v>
      </c>
    </row>
    <row r="766" spans="1:21" ht="18.75">
      <c r="A766" s="35"/>
      <c r="B766" s="53" t="s">
        <v>153</v>
      </c>
      <c r="C766" s="53"/>
      <c r="D766" s="142" t="s">
        <v>277</v>
      </c>
      <c r="E766" s="142"/>
      <c r="F766" s="142"/>
      <c r="G766" s="56"/>
      <c r="H766" s="53"/>
      <c r="I766" s="53"/>
      <c r="J766" s="53"/>
      <c r="K766" s="53"/>
      <c r="L766" s="53"/>
      <c r="M766" s="53"/>
      <c r="N766" s="53"/>
      <c r="O766" s="54"/>
      <c r="P766" s="44"/>
      <c r="Q766" s="78"/>
      <c r="R766" s="78"/>
      <c r="S766" s="78"/>
      <c r="T766" s="8" t="s">
        <v>571</v>
      </c>
      <c r="U766" s="80">
        <f>R898</f>
        <v>0</v>
      </c>
    </row>
    <row r="767" spans="1:21" ht="18.75">
      <c r="A767" s="53"/>
      <c r="B767" s="53"/>
      <c r="C767" s="56"/>
      <c r="D767" s="56"/>
      <c r="E767" s="56"/>
      <c r="F767" s="56"/>
      <c r="G767" s="53"/>
      <c r="H767" s="53"/>
      <c r="I767" s="53"/>
      <c r="J767" s="53"/>
      <c r="K767" s="53"/>
      <c r="L767" s="53"/>
      <c r="M767" s="53"/>
      <c r="N767" s="53"/>
      <c r="O767" s="54"/>
      <c r="P767" s="44"/>
      <c r="Q767" s="78"/>
      <c r="R767" s="78"/>
      <c r="S767" s="78"/>
      <c r="T767" s="8" t="s">
        <v>575</v>
      </c>
      <c r="U767" s="80">
        <f>Q816+Q815+Q834</f>
        <v>37770.28</v>
      </c>
    </row>
    <row r="768" spans="1:21" ht="18.75">
      <c r="A768" s="34"/>
      <c r="B768" s="153" t="s">
        <v>389</v>
      </c>
      <c r="C768" s="153"/>
      <c r="D768" s="153"/>
      <c r="E768" s="153"/>
      <c r="F768" s="153"/>
      <c r="G768" s="153"/>
      <c r="H768" s="153"/>
      <c r="I768" s="153"/>
      <c r="J768" s="153"/>
      <c r="K768" s="193"/>
      <c r="L768" s="193"/>
      <c r="M768" s="53"/>
      <c r="N768" s="53"/>
      <c r="O768" s="54"/>
      <c r="P768" s="44"/>
      <c r="Q768" s="78"/>
      <c r="R768" s="78"/>
      <c r="S768" s="78"/>
      <c r="T768" s="8" t="s">
        <v>576</v>
      </c>
      <c r="U768" s="80">
        <f>Q823+Q824+Q825+Q826</f>
        <v>176618</v>
      </c>
    </row>
    <row r="769" spans="1:21" ht="18.75">
      <c r="A769" s="34"/>
      <c r="B769" s="153"/>
      <c r="C769" s="153"/>
      <c r="D769" s="153"/>
      <c r="E769" s="153"/>
      <c r="F769" s="153"/>
      <c r="G769" s="153"/>
      <c r="H769" s="153"/>
      <c r="I769" s="153"/>
      <c r="J769" s="153"/>
      <c r="K769" s="193"/>
      <c r="L769" s="193"/>
      <c r="M769" s="53"/>
      <c r="N769" s="53"/>
      <c r="O769" s="54"/>
      <c r="P769" s="44"/>
      <c r="Q769" s="78"/>
      <c r="R769" s="78"/>
      <c r="S769" s="78"/>
      <c r="T769" s="8"/>
      <c r="U769" s="8"/>
    </row>
    <row r="770" spans="1:21" ht="75">
      <c r="A770" s="49" t="s">
        <v>155</v>
      </c>
      <c r="B770" s="259" t="s">
        <v>156</v>
      </c>
      <c r="C770" s="259"/>
      <c r="D770" s="61" t="s">
        <v>168</v>
      </c>
      <c r="E770" s="259" t="s">
        <v>195</v>
      </c>
      <c r="F770" s="259"/>
      <c r="G770" s="259" t="s">
        <v>196</v>
      </c>
      <c r="H770" s="259"/>
      <c r="I770" s="61" t="s">
        <v>197</v>
      </c>
      <c r="J770" s="61" t="s">
        <v>177</v>
      </c>
      <c r="K770" s="53"/>
      <c r="L770" s="53"/>
      <c r="M770" s="53"/>
      <c r="N770" s="53"/>
      <c r="O770" s="54"/>
      <c r="P770" s="44"/>
      <c r="Q770" s="78"/>
      <c r="R770" s="78"/>
      <c r="S770" s="78"/>
      <c r="T770" s="8"/>
      <c r="U770" s="8"/>
    </row>
    <row r="771" spans="1:19" ht="18.75">
      <c r="A771" s="187">
        <v>1</v>
      </c>
      <c r="B771" s="203">
        <v>2</v>
      </c>
      <c r="C771" s="203"/>
      <c r="D771" s="187">
        <v>3</v>
      </c>
      <c r="E771" s="203">
        <v>4</v>
      </c>
      <c r="F771" s="203"/>
      <c r="G771" s="203">
        <v>5</v>
      </c>
      <c r="H771" s="203"/>
      <c r="I771" s="187">
        <v>6</v>
      </c>
      <c r="J771" s="187">
        <v>7</v>
      </c>
      <c r="K771" s="53"/>
      <c r="L771" s="53"/>
      <c r="M771" s="53"/>
      <c r="N771" s="53"/>
      <c r="O771" s="54"/>
      <c r="P771" s="44"/>
      <c r="Q771" s="78" t="s">
        <v>312</v>
      </c>
      <c r="R771" s="78">
        <f>Q772</f>
        <v>14400</v>
      </c>
      <c r="S771" s="78"/>
    </row>
    <row r="772" spans="1:19" ht="18.75">
      <c r="A772" s="49">
        <v>1</v>
      </c>
      <c r="B772" s="265" t="s">
        <v>199</v>
      </c>
      <c r="C772" s="265"/>
      <c r="D772" s="187">
        <v>221</v>
      </c>
      <c r="E772" s="203">
        <v>1</v>
      </c>
      <c r="F772" s="203"/>
      <c r="G772" s="203">
        <v>12</v>
      </c>
      <c r="H772" s="203"/>
      <c r="I772" s="52">
        <f>ROUND(J772/G772,2)</f>
        <v>1600</v>
      </c>
      <c r="J772" s="52">
        <v>19200</v>
      </c>
      <c r="K772" s="53"/>
      <c r="L772" s="130"/>
      <c r="M772" s="53"/>
      <c r="N772" s="53"/>
      <c r="O772" s="54"/>
      <c r="P772" s="44"/>
      <c r="Q772" s="78">
        <f>3200+1600+1600+1600+1600+1600+1600+1600</f>
        <v>14400</v>
      </c>
      <c r="R772" s="78">
        <f>J772-Q772</f>
        <v>4800</v>
      </c>
      <c r="S772" s="78"/>
    </row>
    <row r="773" spans="1:19" ht="18.75">
      <c r="A773" s="49"/>
      <c r="B773" s="203" t="s">
        <v>130</v>
      </c>
      <c r="C773" s="203"/>
      <c r="D773" s="187"/>
      <c r="E773" s="203" t="s">
        <v>172</v>
      </c>
      <c r="F773" s="203"/>
      <c r="G773" s="203" t="s">
        <v>172</v>
      </c>
      <c r="H773" s="203"/>
      <c r="I773" s="49" t="s">
        <v>172</v>
      </c>
      <c r="J773" s="52">
        <f>SUM(J772:J772)</f>
        <v>19200</v>
      </c>
      <c r="K773" s="53"/>
      <c r="L773" s="53"/>
      <c r="M773" s="53"/>
      <c r="N773" s="53"/>
      <c r="O773" s="54"/>
      <c r="P773" s="44"/>
      <c r="Q773" s="78"/>
      <c r="R773" s="78"/>
      <c r="S773" s="78"/>
    </row>
    <row r="774" spans="1:19" ht="18.75">
      <c r="A774" s="53"/>
      <c r="B774" s="53"/>
      <c r="C774" s="56"/>
      <c r="D774" s="56"/>
      <c r="E774" s="56"/>
      <c r="F774" s="56"/>
      <c r="G774" s="53"/>
      <c r="H774" s="53"/>
      <c r="I774" s="53"/>
      <c r="J774" s="53"/>
      <c r="K774" s="53"/>
      <c r="L774" s="53"/>
      <c r="M774" s="53"/>
      <c r="N774" s="53"/>
      <c r="O774" s="54"/>
      <c r="P774" s="44"/>
      <c r="Q774" s="78"/>
      <c r="R774" s="78"/>
      <c r="S774" s="78"/>
    </row>
    <row r="775" spans="1:19" ht="18.75">
      <c r="A775" s="53"/>
      <c r="B775" s="153" t="s">
        <v>390</v>
      </c>
      <c r="C775" s="153"/>
      <c r="D775" s="153"/>
      <c r="E775" s="153"/>
      <c r="F775" s="153"/>
      <c r="G775" s="153"/>
      <c r="H775" s="153"/>
      <c r="I775" s="153"/>
      <c r="J775" s="153"/>
      <c r="K775" s="193"/>
      <c r="L775" s="193"/>
      <c r="M775" s="53"/>
      <c r="N775" s="53"/>
      <c r="O775" s="54"/>
      <c r="P775" s="44"/>
      <c r="Q775" s="78"/>
      <c r="R775" s="78"/>
      <c r="S775" s="78"/>
    </row>
    <row r="776" spans="1:19" ht="18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4"/>
      <c r="P776" s="44"/>
      <c r="Q776" s="78"/>
      <c r="R776" s="78"/>
      <c r="S776" s="78"/>
    </row>
    <row r="777" spans="1:19" ht="37.5">
      <c r="A777" s="49" t="s">
        <v>155</v>
      </c>
      <c r="B777" s="259" t="s">
        <v>0</v>
      </c>
      <c r="C777" s="259"/>
      <c r="D777" s="259"/>
      <c r="E777" s="259" t="s">
        <v>168</v>
      </c>
      <c r="F777" s="259"/>
      <c r="G777" s="259" t="s">
        <v>185</v>
      </c>
      <c r="H777" s="259"/>
      <c r="I777" s="61" t="s">
        <v>186</v>
      </c>
      <c r="J777" s="61" t="s">
        <v>187</v>
      </c>
      <c r="K777" s="53"/>
      <c r="L777" s="53"/>
      <c r="M777" s="53"/>
      <c r="N777" s="53"/>
      <c r="O777" s="54"/>
      <c r="P777" s="44"/>
      <c r="Q777" s="78"/>
      <c r="R777" s="78"/>
      <c r="S777" s="78"/>
    </row>
    <row r="778" spans="1:19" ht="18.75">
      <c r="A778" s="187">
        <v>1</v>
      </c>
      <c r="B778" s="203">
        <v>2</v>
      </c>
      <c r="C778" s="203"/>
      <c r="D778" s="203"/>
      <c r="E778" s="203">
        <v>3</v>
      </c>
      <c r="F778" s="203"/>
      <c r="G778" s="203">
        <v>4</v>
      </c>
      <c r="H778" s="203"/>
      <c r="I778" s="187">
        <v>5</v>
      </c>
      <c r="J778" s="187">
        <v>6</v>
      </c>
      <c r="K778" s="53"/>
      <c r="L778" s="130"/>
      <c r="M778" s="53"/>
      <c r="N778" s="53"/>
      <c r="O778" s="54"/>
      <c r="P778" s="44"/>
      <c r="Q778" s="78" t="s">
        <v>315</v>
      </c>
      <c r="R778" s="78">
        <f>Q779+Q780</f>
        <v>10919.92</v>
      </c>
      <c r="S778" s="78"/>
    </row>
    <row r="779" spans="1:19" ht="18.75">
      <c r="A779" s="49">
        <v>1</v>
      </c>
      <c r="B779" s="211" t="s">
        <v>300</v>
      </c>
      <c r="C779" s="211"/>
      <c r="D779" s="211"/>
      <c r="E779" s="203">
        <v>225</v>
      </c>
      <c r="F779" s="203"/>
      <c r="G779" s="203" t="s">
        <v>209</v>
      </c>
      <c r="H779" s="203"/>
      <c r="I779" s="49">
        <v>1</v>
      </c>
      <c r="J779" s="52">
        <v>5000</v>
      </c>
      <c r="K779" s="53"/>
      <c r="L779" s="53"/>
      <c r="M779" s="53"/>
      <c r="N779" s="53"/>
      <c r="O779" s="54"/>
      <c r="P779" s="44"/>
      <c r="Q779" s="78"/>
      <c r="R779" s="78">
        <f>J779-Q779</f>
        <v>5000</v>
      </c>
      <c r="S779" s="78"/>
    </row>
    <row r="780" spans="1:19" ht="57" customHeight="1">
      <c r="A780" s="49">
        <v>2</v>
      </c>
      <c r="B780" s="211" t="s">
        <v>559</v>
      </c>
      <c r="C780" s="211"/>
      <c r="D780" s="211"/>
      <c r="E780" s="203">
        <v>225</v>
      </c>
      <c r="F780" s="203"/>
      <c r="G780" s="203" t="s">
        <v>209</v>
      </c>
      <c r="H780" s="203"/>
      <c r="I780" s="49">
        <v>1</v>
      </c>
      <c r="J780" s="52">
        <f>12519.92-1600</f>
        <v>10919.92</v>
      </c>
      <c r="K780" s="53"/>
      <c r="L780" s="53"/>
      <c r="M780" s="53"/>
      <c r="N780" s="53"/>
      <c r="O780" s="54"/>
      <c r="P780" s="44"/>
      <c r="Q780" s="78">
        <f>12519.92-1600</f>
        <v>10919.92</v>
      </c>
      <c r="R780" s="78">
        <f>J780-Q780</f>
        <v>0</v>
      </c>
      <c r="S780" s="78"/>
    </row>
    <row r="781" spans="1:19" ht="18.75">
      <c r="A781" s="49"/>
      <c r="B781" s="201" t="s">
        <v>130</v>
      </c>
      <c r="C781" s="226"/>
      <c r="D781" s="202"/>
      <c r="E781" s="201"/>
      <c r="F781" s="202"/>
      <c r="G781" s="203" t="s">
        <v>6</v>
      </c>
      <c r="H781" s="203"/>
      <c r="I781" s="49" t="s">
        <v>6</v>
      </c>
      <c r="J781" s="52">
        <f>SUM(J779:J780)</f>
        <v>15919.92</v>
      </c>
      <c r="K781" s="53"/>
      <c r="L781" s="130"/>
      <c r="M781" s="130"/>
      <c r="N781" s="53"/>
      <c r="O781" s="54"/>
      <c r="P781" s="44"/>
      <c r="Q781" s="78"/>
      <c r="R781" s="78"/>
      <c r="S781" s="78"/>
    </row>
    <row r="782" spans="1:19" ht="18.75">
      <c r="A782" s="53"/>
      <c r="B782" s="53"/>
      <c r="C782" s="56"/>
      <c r="D782" s="56"/>
      <c r="E782" s="56"/>
      <c r="F782" s="56"/>
      <c r="G782" s="53"/>
      <c r="H782" s="53"/>
      <c r="I782" s="53"/>
      <c r="J782" s="53"/>
      <c r="K782" s="53"/>
      <c r="L782" s="53"/>
      <c r="M782" s="53"/>
      <c r="N782" s="53"/>
      <c r="O782" s="54"/>
      <c r="P782" s="44"/>
      <c r="Q782" s="78"/>
      <c r="R782" s="78"/>
      <c r="S782" s="78"/>
    </row>
    <row r="783" spans="1:19" ht="18.75" hidden="1">
      <c r="A783" s="53"/>
      <c r="B783" s="53" t="s">
        <v>391</v>
      </c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4"/>
      <c r="P783" s="44"/>
      <c r="Q783" s="78"/>
      <c r="R783" s="78"/>
      <c r="S783" s="78"/>
    </row>
    <row r="784" spans="1:19" ht="18.75" hidden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4"/>
      <c r="P784" s="44"/>
      <c r="Q784" s="78"/>
      <c r="R784" s="78"/>
      <c r="S784" s="78"/>
    </row>
    <row r="785" spans="1:19" ht="68.25" customHeight="1" hidden="1">
      <c r="A785" s="49" t="s">
        <v>155</v>
      </c>
      <c r="B785" s="259" t="s">
        <v>0</v>
      </c>
      <c r="C785" s="259"/>
      <c r="D785" s="259"/>
      <c r="E785" s="259" t="s">
        <v>168</v>
      </c>
      <c r="F785" s="259"/>
      <c r="G785" s="259" t="s">
        <v>188</v>
      </c>
      <c r="H785" s="259"/>
      <c r="I785" s="61" t="s">
        <v>173</v>
      </c>
      <c r="J785" s="53"/>
      <c r="K785" s="53"/>
      <c r="L785" s="53"/>
      <c r="M785" s="53"/>
      <c r="N785" s="53"/>
      <c r="O785" s="54"/>
      <c r="P785" s="60"/>
      <c r="Q785" s="78" t="s">
        <v>336</v>
      </c>
      <c r="R785" s="78">
        <f>R786</f>
        <v>121333.61</v>
      </c>
      <c r="S785" s="78"/>
    </row>
    <row r="786" spans="1:19" ht="18.75" hidden="1">
      <c r="A786" s="187">
        <v>1</v>
      </c>
      <c r="B786" s="203">
        <v>2</v>
      </c>
      <c r="C786" s="203"/>
      <c r="D786" s="203"/>
      <c r="E786" s="203">
        <v>3</v>
      </c>
      <c r="F786" s="203"/>
      <c r="G786" s="203">
        <v>4</v>
      </c>
      <c r="H786" s="203"/>
      <c r="I786" s="187">
        <v>5</v>
      </c>
      <c r="J786" s="193"/>
      <c r="K786" s="193"/>
      <c r="L786" s="193"/>
      <c r="M786" s="193"/>
      <c r="N786" s="193"/>
      <c r="O786" s="62"/>
      <c r="P786" s="45"/>
      <c r="Q786" s="78" t="s">
        <v>311</v>
      </c>
      <c r="R786" s="78">
        <f>Q787+Q788+Q789</f>
        <v>121333.61</v>
      </c>
      <c r="S786" s="78"/>
    </row>
    <row r="787" spans="1:19" ht="42.75" customHeight="1" hidden="1">
      <c r="A787" s="49">
        <v>1</v>
      </c>
      <c r="B787" s="262" t="s">
        <v>218</v>
      </c>
      <c r="C787" s="262"/>
      <c r="D787" s="262"/>
      <c r="E787" s="203">
        <v>226</v>
      </c>
      <c r="F787" s="203"/>
      <c r="G787" s="203">
        <v>12</v>
      </c>
      <c r="H787" s="203"/>
      <c r="I787" s="52">
        <f>208581-3832.55-8000-7000-12519.92+1600</f>
        <v>178828.53</v>
      </c>
      <c r="J787" s="53"/>
      <c r="K787" s="53"/>
      <c r="L787" s="53"/>
      <c r="M787" s="53"/>
      <c r="N787" s="53"/>
      <c r="O787" s="54"/>
      <c r="P787" s="44"/>
      <c r="Q787" s="78">
        <f>20361.42+24433.7+28521.24+19976+9208.7</f>
        <v>102501.06</v>
      </c>
      <c r="R787" s="78">
        <f>I787-Q787</f>
        <v>76327.47</v>
      </c>
      <c r="S787" s="78"/>
    </row>
    <row r="788" spans="1:19" ht="39" customHeight="1" hidden="1">
      <c r="A788" s="49">
        <v>2</v>
      </c>
      <c r="B788" s="262" t="s">
        <v>557</v>
      </c>
      <c r="C788" s="262"/>
      <c r="D788" s="262"/>
      <c r="E788" s="203">
        <v>226</v>
      </c>
      <c r="F788" s="203"/>
      <c r="G788" s="203">
        <v>12</v>
      </c>
      <c r="H788" s="203"/>
      <c r="I788" s="52">
        <v>3832.55</v>
      </c>
      <c r="J788" s="53"/>
      <c r="K788" s="53"/>
      <c r="L788" s="53"/>
      <c r="M788" s="53"/>
      <c r="N788" s="53"/>
      <c r="O788" s="54"/>
      <c r="P788" s="44"/>
      <c r="Q788" s="78">
        <v>3832.55</v>
      </c>
      <c r="R788" s="78">
        <f>I788-Q788</f>
        <v>0</v>
      </c>
      <c r="S788" s="78"/>
    </row>
    <row r="789" spans="1:19" ht="39" customHeight="1" hidden="1">
      <c r="A789" s="49">
        <v>3</v>
      </c>
      <c r="B789" s="256" t="s">
        <v>558</v>
      </c>
      <c r="C789" s="257"/>
      <c r="D789" s="258"/>
      <c r="E789" s="203">
        <v>226</v>
      </c>
      <c r="F789" s="203"/>
      <c r="G789" s="203">
        <v>12</v>
      </c>
      <c r="H789" s="203"/>
      <c r="I789" s="52">
        <f>8000+7000</f>
        <v>15000</v>
      </c>
      <c r="J789" s="53"/>
      <c r="K789" s="53"/>
      <c r="L789" s="53"/>
      <c r="M789" s="53"/>
      <c r="N789" s="53"/>
      <c r="O789" s="54"/>
      <c r="P789" s="44"/>
      <c r="Q789" s="78">
        <f>8000+7000</f>
        <v>15000</v>
      </c>
      <c r="R789" s="78">
        <f>I789-Q789</f>
        <v>0</v>
      </c>
      <c r="S789" s="78"/>
    </row>
    <row r="790" spans="1:19" ht="24.75" customHeight="1" hidden="1">
      <c r="A790" s="49"/>
      <c r="B790" s="201" t="s">
        <v>130</v>
      </c>
      <c r="C790" s="226"/>
      <c r="D790" s="202"/>
      <c r="E790" s="203"/>
      <c r="F790" s="203"/>
      <c r="G790" s="203" t="s">
        <v>6</v>
      </c>
      <c r="H790" s="203"/>
      <c r="I790" s="52">
        <f>SUM(I787:I789)</f>
        <v>197661.08</v>
      </c>
      <c r="J790" s="53"/>
      <c r="K790" s="53"/>
      <c r="L790" s="53"/>
      <c r="M790" s="53"/>
      <c r="N790" s="53"/>
      <c r="O790" s="54"/>
      <c r="P790" s="46"/>
      <c r="Q790" s="78"/>
      <c r="R790" s="78"/>
      <c r="S790" s="78"/>
    </row>
    <row r="791" spans="1:19" ht="18.75">
      <c r="A791" s="56"/>
      <c r="B791" s="56"/>
      <c r="C791" s="56"/>
      <c r="D791" s="56"/>
      <c r="E791" s="63"/>
      <c r="F791" s="56"/>
      <c r="G791" s="53"/>
      <c r="H791" s="53"/>
      <c r="I791" s="53"/>
      <c r="J791" s="53"/>
      <c r="K791" s="53"/>
      <c r="L791" s="130"/>
      <c r="M791" s="53"/>
      <c r="N791" s="53"/>
      <c r="O791" s="54"/>
      <c r="P791" s="44"/>
      <c r="Q791" s="78"/>
      <c r="R791" s="78"/>
      <c r="S791" s="78"/>
    </row>
    <row r="792" spans="1:19" ht="18.75">
      <c r="A792" s="53"/>
      <c r="B792" s="53" t="s">
        <v>392</v>
      </c>
      <c r="C792" s="53"/>
      <c r="D792" s="53"/>
      <c r="E792" s="53"/>
      <c r="F792" s="53"/>
      <c r="G792" s="53"/>
      <c r="H792" s="53"/>
      <c r="I792" s="53"/>
      <c r="J792" s="53"/>
      <c r="K792" s="53"/>
      <c r="L792" s="130"/>
      <c r="M792" s="53"/>
      <c r="N792" s="53"/>
      <c r="O792" s="54"/>
      <c r="P792" s="44"/>
      <c r="Q792" s="78"/>
      <c r="R792" s="78"/>
      <c r="S792" s="78"/>
    </row>
    <row r="793" spans="1:19" ht="18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4"/>
      <c r="P793" s="44"/>
      <c r="Q793" s="78"/>
      <c r="R793" s="78"/>
      <c r="S793" s="78"/>
    </row>
    <row r="794" spans="1:19" ht="56.25" customHeight="1">
      <c r="A794" s="49" t="s">
        <v>155</v>
      </c>
      <c r="B794" s="259" t="s">
        <v>0</v>
      </c>
      <c r="C794" s="259"/>
      <c r="D794" s="259"/>
      <c r="E794" s="259" t="s">
        <v>168</v>
      </c>
      <c r="F794" s="259"/>
      <c r="G794" s="259" t="s">
        <v>189</v>
      </c>
      <c r="H794" s="259"/>
      <c r="I794" s="61" t="s">
        <v>190</v>
      </c>
      <c r="J794" s="61" t="s">
        <v>191</v>
      </c>
      <c r="K794" s="53"/>
      <c r="L794" s="53"/>
      <c r="M794" s="53"/>
      <c r="N794" s="53"/>
      <c r="O794" s="54"/>
      <c r="P794" s="60"/>
      <c r="Q794" s="78" t="s">
        <v>337</v>
      </c>
      <c r="R794" s="78">
        <f>R795+R814+Q761</f>
        <v>4125.280000000001</v>
      </c>
      <c r="S794" s="78"/>
    </row>
    <row r="795" spans="1:19" ht="18.75" customHeight="1">
      <c r="A795" s="187">
        <v>1</v>
      </c>
      <c r="B795" s="201">
        <v>2</v>
      </c>
      <c r="C795" s="226"/>
      <c r="D795" s="202"/>
      <c r="E795" s="201">
        <v>3</v>
      </c>
      <c r="F795" s="202"/>
      <c r="G795" s="201">
        <v>4</v>
      </c>
      <c r="H795" s="202"/>
      <c r="I795" s="187">
        <v>5</v>
      </c>
      <c r="J795" s="187">
        <v>6</v>
      </c>
      <c r="K795" s="193"/>
      <c r="L795" s="193"/>
      <c r="M795" s="193"/>
      <c r="N795" s="193"/>
      <c r="O795" s="62"/>
      <c r="P795" s="45"/>
      <c r="Q795" s="78" t="s">
        <v>320</v>
      </c>
      <c r="R795" s="78">
        <f>Q796</f>
        <v>0</v>
      </c>
      <c r="S795" s="78"/>
    </row>
    <row r="796" spans="1:19" ht="27.75" customHeight="1">
      <c r="A796" s="49">
        <v>1</v>
      </c>
      <c r="B796" s="198" t="s">
        <v>283</v>
      </c>
      <c r="C796" s="199"/>
      <c r="D796" s="200"/>
      <c r="E796" s="203">
        <v>310</v>
      </c>
      <c r="F796" s="203"/>
      <c r="G796" s="264">
        <v>7</v>
      </c>
      <c r="H796" s="264"/>
      <c r="I796" s="52">
        <f>J796/G796</f>
        <v>25114.285714285714</v>
      </c>
      <c r="J796" s="52">
        <f>175800</f>
        <v>175800</v>
      </c>
      <c r="K796" s="53"/>
      <c r="L796" s="53"/>
      <c r="M796" s="53"/>
      <c r="N796" s="53"/>
      <c r="O796" s="54"/>
      <c r="P796" s="44"/>
      <c r="Q796" s="78"/>
      <c r="R796" s="78">
        <f>J796-Q796</f>
        <v>175800</v>
      </c>
      <c r="S796" s="78"/>
    </row>
    <row r="797" spans="1:19" ht="18.75">
      <c r="A797" s="49"/>
      <c r="B797" s="203" t="s">
        <v>130</v>
      </c>
      <c r="C797" s="203"/>
      <c r="D797" s="203"/>
      <c r="E797" s="203"/>
      <c r="F797" s="203"/>
      <c r="G797" s="203"/>
      <c r="H797" s="203"/>
      <c r="I797" s="49" t="s">
        <v>6</v>
      </c>
      <c r="J797" s="183">
        <f>SUM(J796:J796)</f>
        <v>175800</v>
      </c>
      <c r="K797" s="53"/>
      <c r="L797" s="53"/>
      <c r="M797" s="53"/>
      <c r="N797" s="53"/>
      <c r="O797" s="54"/>
      <c r="P797" s="46"/>
      <c r="Q797" s="78"/>
      <c r="R797" s="78"/>
      <c r="S797" s="78"/>
    </row>
    <row r="798" spans="1:19" ht="18.75">
      <c r="A798" s="56"/>
      <c r="B798" s="56"/>
      <c r="C798" s="55"/>
      <c r="D798" s="56"/>
      <c r="E798" s="56"/>
      <c r="F798" s="63"/>
      <c r="G798" s="53"/>
      <c r="H798" s="53"/>
      <c r="I798" s="53"/>
      <c r="J798" s="53"/>
      <c r="K798" s="53"/>
      <c r="L798" s="53"/>
      <c r="M798" s="53"/>
      <c r="N798" s="53"/>
      <c r="O798" s="54"/>
      <c r="P798" s="44"/>
      <c r="Q798" s="78"/>
      <c r="R798" s="78"/>
      <c r="S798" s="78"/>
    </row>
    <row r="799" spans="1:19" ht="18.75">
      <c r="A799" s="53"/>
      <c r="B799" s="53" t="s">
        <v>393</v>
      </c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4"/>
      <c r="P799" s="46"/>
      <c r="Q799" s="78"/>
      <c r="R799" s="78"/>
      <c r="S799" s="78"/>
    </row>
    <row r="800" spans="1:19" ht="18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4"/>
      <c r="P800" s="46"/>
      <c r="Q800" s="78"/>
      <c r="R800" s="78"/>
      <c r="S800" s="78"/>
    </row>
    <row r="801" spans="1:19" ht="56.25">
      <c r="A801" s="49" t="s">
        <v>155</v>
      </c>
      <c r="B801" s="259" t="s">
        <v>0</v>
      </c>
      <c r="C801" s="259"/>
      <c r="D801" s="259"/>
      <c r="E801" s="259" t="s">
        <v>168</v>
      </c>
      <c r="F801" s="259"/>
      <c r="G801" s="259" t="s">
        <v>354</v>
      </c>
      <c r="H801" s="259"/>
      <c r="I801" s="61" t="s">
        <v>190</v>
      </c>
      <c r="J801" s="61" t="s">
        <v>219</v>
      </c>
      <c r="K801" s="53"/>
      <c r="L801" s="53"/>
      <c r="M801" s="53"/>
      <c r="N801" s="53"/>
      <c r="O801" s="54"/>
      <c r="P801" s="46"/>
      <c r="Q801" s="78"/>
      <c r="R801" s="78"/>
      <c r="S801" s="78"/>
    </row>
    <row r="802" spans="1:19" ht="18.75">
      <c r="A802" s="187">
        <v>1</v>
      </c>
      <c r="B802" s="203">
        <v>2</v>
      </c>
      <c r="C802" s="203"/>
      <c r="D802" s="203"/>
      <c r="E802" s="203">
        <v>3</v>
      </c>
      <c r="F802" s="203"/>
      <c r="G802" s="203">
        <v>4</v>
      </c>
      <c r="H802" s="203"/>
      <c r="I802" s="187">
        <v>5</v>
      </c>
      <c r="J802" s="187">
        <v>6</v>
      </c>
      <c r="K802" s="193"/>
      <c r="L802" s="53"/>
      <c r="M802" s="53"/>
      <c r="N802" s="53"/>
      <c r="O802" s="54"/>
      <c r="P802" s="46"/>
      <c r="Q802" s="78" t="s">
        <v>321</v>
      </c>
      <c r="R802" s="78">
        <f>Q803+Q804+Q805+Q806+Q807+Q808</f>
        <v>137731.4</v>
      </c>
      <c r="S802" s="78"/>
    </row>
    <row r="803" spans="1:19" ht="18.75">
      <c r="A803" s="49">
        <v>1</v>
      </c>
      <c r="B803" s="198" t="s">
        <v>284</v>
      </c>
      <c r="C803" s="199"/>
      <c r="D803" s="200"/>
      <c r="E803" s="201">
        <v>346</v>
      </c>
      <c r="F803" s="202"/>
      <c r="G803" s="201">
        <v>600</v>
      </c>
      <c r="H803" s="202"/>
      <c r="I803" s="52">
        <f aca="true" t="shared" si="7" ref="I803:I808">J803/G803</f>
        <v>41.708333333333336</v>
      </c>
      <c r="J803" s="52">
        <f>90000-15386-13385.51-1000-21610-13593.49</f>
        <v>25025</v>
      </c>
      <c r="K803" s="53"/>
      <c r="L803" s="53"/>
      <c r="M803" s="53"/>
      <c r="N803" s="53"/>
      <c r="O803" s="54"/>
      <c r="P803" s="46"/>
      <c r="Q803" s="78">
        <v>25025</v>
      </c>
      <c r="R803" s="78">
        <f aca="true" t="shared" si="8" ref="R803:R808">J803-Q803</f>
        <v>0</v>
      </c>
      <c r="S803" s="78"/>
    </row>
    <row r="804" spans="1:19" ht="18.75">
      <c r="A804" s="49">
        <v>2</v>
      </c>
      <c r="B804" s="198" t="s">
        <v>413</v>
      </c>
      <c r="C804" s="199"/>
      <c r="D804" s="200"/>
      <c r="E804" s="201">
        <v>346</v>
      </c>
      <c r="F804" s="202"/>
      <c r="G804" s="201">
        <v>130</v>
      </c>
      <c r="H804" s="202"/>
      <c r="I804" s="52">
        <f t="shared" si="7"/>
        <v>440.2923076923077</v>
      </c>
      <c r="J804" s="52">
        <f>22242.49+13385.51+21610-20000+13593.49+6406.51</f>
        <v>57238</v>
      </c>
      <c r="K804" s="53"/>
      <c r="L804" s="53"/>
      <c r="M804" s="53"/>
      <c r="N804" s="53"/>
      <c r="O804" s="54"/>
      <c r="P804" s="46"/>
      <c r="Q804" s="78">
        <f>21998+13630+21610</f>
        <v>57238</v>
      </c>
      <c r="R804" s="78">
        <f t="shared" si="8"/>
        <v>0</v>
      </c>
      <c r="S804" s="78"/>
    </row>
    <row r="805" spans="1:19" ht="18.75">
      <c r="A805" s="49">
        <v>3</v>
      </c>
      <c r="B805" s="198" t="s">
        <v>416</v>
      </c>
      <c r="C805" s="199"/>
      <c r="D805" s="200"/>
      <c r="E805" s="201">
        <v>346</v>
      </c>
      <c r="F805" s="202"/>
      <c r="G805" s="201">
        <v>243</v>
      </c>
      <c r="H805" s="202"/>
      <c r="I805" s="52">
        <f t="shared" si="7"/>
        <v>40.83329218106996</v>
      </c>
      <c r="J805" s="52">
        <f>41419-25090-6406.51</f>
        <v>9922.49</v>
      </c>
      <c r="K805" s="53"/>
      <c r="L805" s="53"/>
      <c r="M805" s="53"/>
      <c r="N805" s="53"/>
      <c r="O805" s="54"/>
      <c r="P805" s="46"/>
      <c r="Q805" s="78">
        <f>9378.4</f>
        <v>9378.4</v>
      </c>
      <c r="R805" s="78">
        <f t="shared" si="8"/>
        <v>544.0900000000001</v>
      </c>
      <c r="S805" s="78"/>
    </row>
    <row r="806" spans="1:19" ht="18.75">
      <c r="A806" s="49">
        <v>4</v>
      </c>
      <c r="B806" s="198" t="s">
        <v>529</v>
      </c>
      <c r="C806" s="199"/>
      <c r="D806" s="200"/>
      <c r="E806" s="201">
        <v>346</v>
      </c>
      <c r="F806" s="202"/>
      <c r="G806" s="201">
        <v>243</v>
      </c>
      <c r="H806" s="202"/>
      <c r="I806" s="52">
        <f t="shared" si="7"/>
        <v>103.25102880658436</v>
      </c>
      <c r="J806" s="52">
        <v>25090</v>
      </c>
      <c r="K806" s="53"/>
      <c r="L806" s="53"/>
      <c r="M806" s="53"/>
      <c r="N806" s="53"/>
      <c r="O806" s="54"/>
      <c r="P806" s="46"/>
      <c r="Q806" s="78">
        <v>25090</v>
      </c>
      <c r="R806" s="78">
        <f t="shared" si="8"/>
        <v>0</v>
      </c>
      <c r="S806" s="78"/>
    </row>
    <row r="807" spans="1:19" ht="18.75" customHeight="1">
      <c r="A807" s="49">
        <v>5</v>
      </c>
      <c r="B807" s="198" t="s">
        <v>543</v>
      </c>
      <c r="C807" s="199"/>
      <c r="D807" s="200"/>
      <c r="E807" s="201">
        <v>346</v>
      </c>
      <c r="F807" s="202"/>
      <c r="G807" s="201">
        <v>3</v>
      </c>
      <c r="H807" s="202"/>
      <c r="I807" s="52">
        <f t="shared" si="7"/>
        <v>333.3333333333333</v>
      </c>
      <c r="J807" s="52">
        <v>1000</v>
      </c>
      <c r="K807" s="53"/>
      <c r="L807" s="53"/>
      <c r="M807" s="53"/>
      <c r="N807" s="53"/>
      <c r="O807" s="54"/>
      <c r="P807" s="46"/>
      <c r="Q807" s="78">
        <v>1000</v>
      </c>
      <c r="R807" s="78">
        <f t="shared" si="8"/>
        <v>0</v>
      </c>
      <c r="S807" s="78"/>
    </row>
    <row r="808" spans="1:19" ht="36" customHeight="1">
      <c r="A808" s="49">
        <v>6</v>
      </c>
      <c r="B808" s="198" t="s">
        <v>548</v>
      </c>
      <c r="C808" s="199"/>
      <c r="D808" s="200"/>
      <c r="E808" s="201">
        <v>346</v>
      </c>
      <c r="F808" s="202"/>
      <c r="G808" s="201">
        <v>3</v>
      </c>
      <c r="H808" s="202"/>
      <c r="I808" s="52">
        <f t="shared" si="7"/>
        <v>6666.666666666667</v>
      </c>
      <c r="J808" s="52">
        <v>20000</v>
      </c>
      <c r="K808" s="53"/>
      <c r="L808" s="53"/>
      <c r="M808" s="53"/>
      <c r="N808" s="53"/>
      <c r="O808" s="54"/>
      <c r="P808" s="46"/>
      <c r="Q808" s="78">
        <v>20000</v>
      </c>
      <c r="R808" s="78">
        <f t="shared" si="8"/>
        <v>0</v>
      </c>
      <c r="S808" s="78"/>
    </row>
    <row r="809" spans="1:19" ht="18.75">
      <c r="A809" s="49"/>
      <c r="B809" s="201" t="s">
        <v>130</v>
      </c>
      <c r="C809" s="226"/>
      <c r="D809" s="202"/>
      <c r="E809" s="203"/>
      <c r="F809" s="203"/>
      <c r="G809" s="203"/>
      <c r="H809" s="203"/>
      <c r="I809" s="49" t="s">
        <v>6</v>
      </c>
      <c r="J809" s="52">
        <f>SUM(J803:J808)</f>
        <v>138275.49</v>
      </c>
      <c r="K809" s="53"/>
      <c r="L809" s="53"/>
      <c r="M809" s="53"/>
      <c r="N809" s="53"/>
      <c r="O809" s="54"/>
      <c r="P809" s="46"/>
      <c r="Q809" s="78"/>
      <c r="R809" s="78"/>
      <c r="S809" s="78"/>
    </row>
    <row r="810" spans="1:19" ht="18.75">
      <c r="A810" s="56"/>
      <c r="B810" s="56"/>
      <c r="C810" s="55"/>
      <c r="D810" s="56"/>
      <c r="E810" s="56"/>
      <c r="F810" s="63"/>
      <c r="G810" s="53"/>
      <c r="H810" s="53"/>
      <c r="I810" s="53"/>
      <c r="J810" s="53"/>
      <c r="K810" s="53"/>
      <c r="L810" s="53"/>
      <c r="M810" s="53"/>
      <c r="N810" s="53"/>
      <c r="O810" s="54"/>
      <c r="P810" s="44"/>
      <c r="Q810" s="78"/>
      <c r="R810" s="78"/>
      <c r="S810" s="78"/>
    </row>
    <row r="811" spans="1:19" ht="18.75">
      <c r="A811" s="53"/>
      <c r="B811" s="153" t="s">
        <v>542</v>
      </c>
      <c r="C811" s="153"/>
      <c r="D811" s="153"/>
      <c r="E811" s="153"/>
      <c r="F811" s="153"/>
      <c r="G811" s="153"/>
      <c r="H811" s="153"/>
      <c r="I811" s="153"/>
      <c r="J811" s="153"/>
      <c r="K811" s="193"/>
      <c r="L811" s="193"/>
      <c r="M811" s="53"/>
      <c r="N811" s="53"/>
      <c r="O811" s="54"/>
      <c r="P811" s="44"/>
      <c r="Q811" s="78"/>
      <c r="R811" s="78"/>
      <c r="S811" s="78"/>
    </row>
    <row r="812" spans="1:19" ht="18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4"/>
      <c r="P812" s="44"/>
      <c r="Q812" s="78"/>
      <c r="R812" s="78"/>
      <c r="S812" s="78"/>
    </row>
    <row r="813" spans="1:19" ht="56.25" customHeight="1">
      <c r="A813" s="49" t="s">
        <v>155</v>
      </c>
      <c r="B813" s="259" t="s">
        <v>0</v>
      </c>
      <c r="C813" s="259"/>
      <c r="D813" s="259"/>
      <c r="E813" s="259" t="s">
        <v>168</v>
      </c>
      <c r="F813" s="259"/>
      <c r="G813" s="259" t="s">
        <v>185</v>
      </c>
      <c r="H813" s="259"/>
      <c r="I813" s="61" t="s">
        <v>186</v>
      </c>
      <c r="J813" s="61" t="s">
        <v>187</v>
      </c>
      <c r="K813" s="53"/>
      <c r="L813" s="53"/>
      <c r="M813" s="53"/>
      <c r="N813" s="53"/>
      <c r="O813" s="54"/>
      <c r="P813" s="44"/>
      <c r="Q813" s="78"/>
      <c r="R813" s="78"/>
      <c r="S813" s="78"/>
    </row>
    <row r="814" spans="1:19" ht="18.75">
      <c r="A814" s="187">
        <v>1</v>
      </c>
      <c r="B814" s="203">
        <v>2</v>
      </c>
      <c r="C814" s="203"/>
      <c r="D814" s="203"/>
      <c r="E814" s="203">
        <v>3</v>
      </c>
      <c r="F814" s="203"/>
      <c r="G814" s="203">
        <v>4</v>
      </c>
      <c r="H814" s="203"/>
      <c r="I814" s="187">
        <v>5</v>
      </c>
      <c r="J814" s="187">
        <v>6</v>
      </c>
      <c r="K814" s="53"/>
      <c r="L814" s="130"/>
      <c r="M814" s="53"/>
      <c r="N814" s="53"/>
      <c r="O814" s="54"/>
      <c r="P814" s="44"/>
      <c r="Q814" s="78" t="s">
        <v>315</v>
      </c>
      <c r="R814" s="78">
        <f>Q815+Q816</f>
        <v>4125.280000000001</v>
      </c>
      <c r="S814" s="78"/>
    </row>
    <row r="815" spans="1:19" ht="35.25" customHeight="1">
      <c r="A815" s="49">
        <v>1</v>
      </c>
      <c r="B815" s="211" t="s">
        <v>573</v>
      </c>
      <c r="C815" s="211"/>
      <c r="D815" s="211"/>
      <c r="E815" s="203">
        <v>225</v>
      </c>
      <c r="F815" s="203"/>
      <c r="G815" s="203" t="s">
        <v>209</v>
      </c>
      <c r="H815" s="203"/>
      <c r="I815" s="49">
        <v>1</v>
      </c>
      <c r="J815" s="52">
        <f>33075.99-33075.99+5334.83-2525.28-1600-569.01</f>
        <v>640.5399999999997</v>
      </c>
      <c r="K815" s="53"/>
      <c r="L815" s="53"/>
      <c r="M815" s="53"/>
      <c r="N815" s="53"/>
      <c r="O815" s="54"/>
      <c r="P815" s="44"/>
      <c r="Q815" s="78"/>
      <c r="R815" s="78">
        <f>J815-Q815</f>
        <v>640.5399999999997</v>
      </c>
      <c r="S815" s="78"/>
    </row>
    <row r="816" spans="1:19" ht="49.5" customHeight="1">
      <c r="A816" s="49">
        <v>2</v>
      </c>
      <c r="B816" s="211" t="s">
        <v>574</v>
      </c>
      <c r="C816" s="211"/>
      <c r="D816" s="211"/>
      <c r="E816" s="203">
        <v>225</v>
      </c>
      <c r="F816" s="203"/>
      <c r="G816" s="203" t="s">
        <v>209</v>
      </c>
      <c r="H816" s="203"/>
      <c r="I816" s="49">
        <v>1</v>
      </c>
      <c r="J816" s="52">
        <f>2525.28+1600</f>
        <v>4125.280000000001</v>
      </c>
      <c r="K816" s="53"/>
      <c r="L816" s="53"/>
      <c r="M816" s="53"/>
      <c r="N816" s="53"/>
      <c r="O816" s="54"/>
      <c r="P816" s="44"/>
      <c r="Q816" s="78">
        <f>2525.28+1600</f>
        <v>4125.280000000001</v>
      </c>
      <c r="R816" s="78">
        <f>J816-Q816</f>
        <v>0</v>
      </c>
      <c r="S816" s="78"/>
    </row>
    <row r="817" spans="1:19" ht="18.75">
      <c r="A817" s="49"/>
      <c r="B817" s="201" t="s">
        <v>130</v>
      </c>
      <c r="C817" s="226"/>
      <c r="D817" s="202"/>
      <c r="E817" s="201"/>
      <c r="F817" s="202"/>
      <c r="G817" s="203" t="s">
        <v>6</v>
      </c>
      <c r="H817" s="203"/>
      <c r="I817" s="49" t="s">
        <v>6</v>
      </c>
      <c r="J817" s="52">
        <f>SUM(J815:J816)</f>
        <v>4765.820000000001</v>
      </c>
      <c r="K817" s="53"/>
      <c r="L817" s="130"/>
      <c r="M817" s="53"/>
      <c r="N817" s="53"/>
      <c r="O817" s="54"/>
      <c r="P817" s="44"/>
      <c r="Q817" s="78"/>
      <c r="R817" s="78"/>
      <c r="S817" s="78"/>
    </row>
    <row r="818" spans="1:19" ht="18.75">
      <c r="A818" s="56"/>
      <c r="B818" s="56"/>
      <c r="C818" s="55"/>
      <c r="D818" s="56"/>
      <c r="E818" s="56"/>
      <c r="F818" s="63"/>
      <c r="G818" s="53"/>
      <c r="H818" s="53"/>
      <c r="I818" s="53"/>
      <c r="J818" s="53"/>
      <c r="K818" s="53"/>
      <c r="L818" s="53"/>
      <c r="M818" s="53"/>
      <c r="N818" s="53"/>
      <c r="O818" s="54"/>
      <c r="P818" s="44"/>
      <c r="Q818" s="78"/>
      <c r="R818" s="78"/>
      <c r="S818" s="78"/>
    </row>
    <row r="819" spans="1:19" ht="18.75">
      <c r="A819" s="53"/>
      <c r="B819" s="153" t="s">
        <v>560</v>
      </c>
      <c r="C819" s="153"/>
      <c r="D819" s="153"/>
      <c r="E819" s="153"/>
      <c r="F819" s="153"/>
      <c r="G819" s="153"/>
      <c r="H819" s="153"/>
      <c r="I819" s="153"/>
      <c r="J819" s="153"/>
      <c r="K819" s="193"/>
      <c r="L819" s="193"/>
      <c r="M819" s="53"/>
      <c r="N819" s="53"/>
      <c r="O819" s="54"/>
      <c r="P819" s="44"/>
      <c r="Q819" s="78"/>
      <c r="R819" s="78"/>
      <c r="S819" s="78"/>
    </row>
    <row r="820" spans="1:19" ht="18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4"/>
      <c r="P820" s="44"/>
      <c r="Q820" s="78"/>
      <c r="R820" s="78"/>
      <c r="S820" s="78"/>
    </row>
    <row r="821" spans="1:19" ht="37.5">
      <c r="A821" s="49" t="s">
        <v>155</v>
      </c>
      <c r="B821" s="259" t="s">
        <v>0</v>
      </c>
      <c r="C821" s="259"/>
      <c r="D821" s="259"/>
      <c r="E821" s="259" t="s">
        <v>168</v>
      </c>
      <c r="F821" s="259"/>
      <c r="G821" s="259" t="s">
        <v>185</v>
      </c>
      <c r="H821" s="259"/>
      <c r="I821" s="61" t="s">
        <v>186</v>
      </c>
      <c r="J821" s="61" t="s">
        <v>187</v>
      </c>
      <c r="K821" s="53"/>
      <c r="L821" s="53"/>
      <c r="M821" s="53"/>
      <c r="N821" s="53"/>
      <c r="O821" s="54"/>
      <c r="P821" s="44"/>
      <c r="Q821" s="78"/>
      <c r="R821" s="78"/>
      <c r="S821" s="78"/>
    </row>
    <row r="822" spans="1:19" ht="18.75">
      <c r="A822" s="187">
        <v>1</v>
      </c>
      <c r="B822" s="203">
        <v>2</v>
      </c>
      <c r="C822" s="203"/>
      <c r="D822" s="203"/>
      <c r="E822" s="203">
        <v>3</v>
      </c>
      <c r="F822" s="203"/>
      <c r="G822" s="203">
        <v>4</v>
      </c>
      <c r="H822" s="203"/>
      <c r="I822" s="187">
        <v>5</v>
      </c>
      <c r="J822" s="187">
        <v>6</v>
      </c>
      <c r="K822" s="53"/>
      <c r="L822" s="130"/>
      <c r="M822" s="53"/>
      <c r="N822" s="53"/>
      <c r="O822" s="54"/>
      <c r="P822" s="44"/>
      <c r="Q822" s="78" t="s">
        <v>315</v>
      </c>
      <c r="R822" s="78">
        <f>Q823+Q824+Q825+Q826</f>
        <v>176618</v>
      </c>
      <c r="S822" s="78"/>
    </row>
    <row r="823" spans="1:19" ht="44.25" customHeight="1">
      <c r="A823" s="49">
        <v>1</v>
      </c>
      <c r="B823" s="211" t="s">
        <v>559</v>
      </c>
      <c r="C823" s="211"/>
      <c r="D823" s="211"/>
      <c r="E823" s="203">
        <v>225</v>
      </c>
      <c r="F823" s="203"/>
      <c r="G823" s="203" t="s">
        <v>209</v>
      </c>
      <c r="H823" s="203"/>
      <c r="I823" s="49">
        <v>1</v>
      </c>
      <c r="J823" s="52">
        <f>4954.8</f>
        <v>4954.8</v>
      </c>
      <c r="K823" s="53"/>
      <c r="L823" s="53"/>
      <c r="M823" s="53"/>
      <c r="N823" s="53"/>
      <c r="O823" s="54"/>
      <c r="P823" s="44"/>
      <c r="Q823" s="78">
        <v>4954.8</v>
      </c>
      <c r="R823" s="78">
        <f>J823-Q823</f>
        <v>0</v>
      </c>
      <c r="S823" s="78"/>
    </row>
    <row r="824" spans="1:19" ht="44.25" customHeight="1">
      <c r="A824" s="49">
        <v>2</v>
      </c>
      <c r="B824" s="211" t="s">
        <v>562</v>
      </c>
      <c r="C824" s="211"/>
      <c r="D824" s="211"/>
      <c r="E824" s="203">
        <v>225</v>
      </c>
      <c r="F824" s="203"/>
      <c r="G824" s="203" t="s">
        <v>209</v>
      </c>
      <c r="H824" s="203"/>
      <c r="I824" s="49">
        <v>1</v>
      </c>
      <c r="J824" s="52">
        <v>50000</v>
      </c>
      <c r="K824" s="53"/>
      <c r="L824" s="53"/>
      <c r="M824" s="53"/>
      <c r="N824" s="53"/>
      <c r="O824" s="54"/>
      <c r="P824" s="44"/>
      <c r="Q824" s="78">
        <v>50000</v>
      </c>
      <c r="R824" s="78">
        <f>J824-Q824</f>
        <v>0</v>
      </c>
      <c r="S824" s="78"/>
    </row>
    <row r="825" spans="1:19" ht="62.25" customHeight="1">
      <c r="A825" s="49">
        <v>3</v>
      </c>
      <c r="B825" s="211" t="s">
        <v>563</v>
      </c>
      <c r="C825" s="211"/>
      <c r="D825" s="211"/>
      <c r="E825" s="203">
        <v>225</v>
      </c>
      <c r="F825" s="203"/>
      <c r="G825" s="203" t="s">
        <v>209</v>
      </c>
      <c r="H825" s="203"/>
      <c r="I825" s="49">
        <v>1</v>
      </c>
      <c r="J825" s="52">
        <v>86663.2</v>
      </c>
      <c r="K825" s="53"/>
      <c r="L825" s="53"/>
      <c r="M825" s="53"/>
      <c r="N825" s="53"/>
      <c r="O825" s="54"/>
      <c r="P825" s="44"/>
      <c r="Q825" s="78">
        <v>86663.2</v>
      </c>
      <c r="R825" s="78">
        <f>J825-Q825</f>
        <v>0</v>
      </c>
      <c r="S825" s="78"/>
    </row>
    <row r="826" spans="1:19" ht="62.25" customHeight="1">
      <c r="A826" s="49">
        <v>4</v>
      </c>
      <c r="B826" s="211" t="s">
        <v>577</v>
      </c>
      <c r="C826" s="211"/>
      <c r="D826" s="211"/>
      <c r="E826" s="203">
        <v>225</v>
      </c>
      <c r="F826" s="203"/>
      <c r="G826" s="203" t="s">
        <v>209</v>
      </c>
      <c r="H826" s="203"/>
      <c r="I826" s="49">
        <v>1</v>
      </c>
      <c r="J826" s="52">
        <v>35000</v>
      </c>
      <c r="K826" s="53"/>
      <c r="L826" s="53"/>
      <c r="M826" s="53"/>
      <c r="N826" s="53"/>
      <c r="O826" s="54"/>
      <c r="P826" s="44"/>
      <c r="Q826" s="78">
        <v>35000</v>
      </c>
      <c r="R826" s="78">
        <f>J826-Q826</f>
        <v>0</v>
      </c>
      <c r="S826" s="78"/>
    </row>
    <row r="827" spans="1:19" ht="18.75">
      <c r="A827" s="49"/>
      <c r="B827" s="201" t="s">
        <v>130</v>
      </c>
      <c r="C827" s="226"/>
      <c r="D827" s="202"/>
      <c r="E827" s="201"/>
      <c r="F827" s="202"/>
      <c r="G827" s="203" t="s">
        <v>6</v>
      </c>
      <c r="H827" s="203"/>
      <c r="I827" s="49" t="s">
        <v>6</v>
      </c>
      <c r="J827" s="52">
        <f>SUM(J823:J826)</f>
        <v>176618</v>
      </c>
      <c r="K827" s="53"/>
      <c r="L827" s="130"/>
      <c r="M827" s="53"/>
      <c r="N827" s="53"/>
      <c r="O827" s="54"/>
      <c r="P827" s="44"/>
      <c r="Q827" s="78"/>
      <c r="R827" s="78"/>
      <c r="S827" s="78"/>
    </row>
    <row r="828" spans="1:19" ht="18.75">
      <c r="A828" s="56"/>
      <c r="B828" s="56"/>
      <c r="C828" s="55"/>
      <c r="D828" s="56"/>
      <c r="E828" s="56"/>
      <c r="F828" s="63"/>
      <c r="G828" s="53"/>
      <c r="H828" s="53"/>
      <c r="I828" s="53"/>
      <c r="J828" s="53"/>
      <c r="K828" s="53"/>
      <c r="L828" s="53"/>
      <c r="M828" s="53"/>
      <c r="N828" s="53"/>
      <c r="O828" s="54"/>
      <c r="P828" s="44"/>
      <c r="Q828" s="78"/>
      <c r="R828" s="78"/>
      <c r="S828" s="78"/>
    </row>
    <row r="829" spans="1:19" ht="18.75">
      <c r="A829" s="53"/>
      <c r="B829" s="53" t="s">
        <v>561</v>
      </c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4"/>
      <c r="P829" s="44"/>
      <c r="Q829" s="78"/>
      <c r="R829" s="78"/>
      <c r="S829" s="78"/>
    </row>
    <row r="830" spans="1:19" ht="18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4"/>
      <c r="P830" s="44"/>
      <c r="Q830" s="78"/>
      <c r="R830" s="78"/>
      <c r="S830" s="78"/>
    </row>
    <row r="831" spans="1:19" ht="56.25">
      <c r="A831" s="49" t="s">
        <v>155</v>
      </c>
      <c r="B831" s="259" t="s">
        <v>0</v>
      </c>
      <c r="C831" s="259"/>
      <c r="D831" s="259"/>
      <c r="E831" s="259" t="s">
        <v>168</v>
      </c>
      <c r="F831" s="259"/>
      <c r="G831" s="259" t="s">
        <v>189</v>
      </c>
      <c r="H831" s="259"/>
      <c r="I831" s="61" t="s">
        <v>190</v>
      </c>
      <c r="J831" s="61" t="s">
        <v>191</v>
      </c>
      <c r="K831" s="53"/>
      <c r="L831" s="53"/>
      <c r="M831" s="53"/>
      <c r="N831" s="53"/>
      <c r="O831" s="54"/>
      <c r="P831" s="44"/>
      <c r="Q831" s="78"/>
      <c r="R831" s="78"/>
      <c r="S831" s="78"/>
    </row>
    <row r="832" spans="1:19" ht="18.75">
      <c r="A832" s="187">
        <v>1</v>
      </c>
      <c r="B832" s="203">
        <v>2</v>
      </c>
      <c r="C832" s="203"/>
      <c r="D832" s="203"/>
      <c r="E832" s="203">
        <v>3</v>
      </c>
      <c r="F832" s="203"/>
      <c r="G832" s="203">
        <v>4</v>
      </c>
      <c r="H832" s="203"/>
      <c r="I832" s="187">
        <v>5</v>
      </c>
      <c r="J832" s="187">
        <v>6</v>
      </c>
      <c r="K832" s="53"/>
      <c r="L832" s="53"/>
      <c r="M832" s="53"/>
      <c r="N832" s="53"/>
      <c r="O832" s="54"/>
      <c r="P832" s="44"/>
      <c r="Q832" s="78" t="s">
        <v>313</v>
      </c>
      <c r="R832" s="78">
        <f>Q833+Q834</f>
        <v>33645</v>
      </c>
      <c r="S832" s="78"/>
    </row>
    <row r="833" spans="1:19" ht="18.75">
      <c r="A833" s="49">
        <v>1</v>
      </c>
      <c r="B833" s="198" t="s">
        <v>283</v>
      </c>
      <c r="C833" s="199"/>
      <c r="D833" s="200"/>
      <c r="E833" s="203">
        <v>310</v>
      </c>
      <c r="F833" s="203"/>
      <c r="G833" s="264">
        <v>12</v>
      </c>
      <c r="H833" s="264"/>
      <c r="I833" s="52">
        <f>J833/G833</f>
        <v>10256.082499999999</v>
      </c>
      <c r="J833" s="52">
        <f>300260-569.01-4954.8-50000-86663.2-35000</f>
        <v>123072.98999999999</v>
      </c>
      <c r="K833" s="53"/>
      <c r="L833" s="53"/>
      <c r="M833" s="53"/>
      <c r="N833" s="53"/>
      <c r="O833" s="54"/>
      <c r="P833" s="44"/>
      <c r="Q833" s="78"/>
      <c r="R833" s="78">
        <f>J833-Q833</f>
        <v>123072.98999999999</v>
      </c>
      <c r="S833" s="78"/>
    </row>
    <row r="834" spans="1:19" ht="18.75">
      <c r="A834" s="49">
        <v>2</v>
      </c>
      <c r="B834" s="198" t="s">
        <v>572</v>
      </c>
      <c r="C834" s="199"/>
      <c r="D834" s="200"/>
      <c r="E834" s="203">
        <v>310</v>
      </c>
      <c r="F834" s="203"/>
      <c r="G834" s="264">
        <v>1</v>
      </c>
      <c r="H834" s="264"/>
      <c r="I834" s="52">
        <f>J834/G834</f>
        <v>33645</v>
      </c>
      <c r="J834" s="52">
        <f>33075.99+569.01</f>
        <v>33645</v>
      </c>
      <c r="K834" s="53"/>
      <c r="L834" s="53"/>
      <c r="M834" s="53"/>
      <c r="N834" s="53"/>
      <c r="O834" s="54"/>
      <c r="P834" s="44"/>
      <c r="Q834" s="78">
        <v>33645</v>
      </c>
      <c r="R834" s="78">
        <f>J834-Q834</f>
        <v>0</v>
      </c>
      <c r="S834" s="78"/>
    </row>
    <row r="835" spans="1:19" ht="18.75">
      <c r="A835" s="49"/>
      <c r="B835" s="203" t="s">
        <v>130</v>
      </c>
      <c r="C835" s="203"/>
      <c r="D835" s="203"/>
      <c r="E835" s="203"/>
      <c r="F835" s="203"/>
      <c r="G835" s="203"/>
      <c r="H835" s="203"/>
      <c r="I835" s="49" t="s">
        <v>6</v>
      </c>
      <c r="J835" s="183">
        <f>SUM(J833:J834)</f>
        <v>156717.99</v>
      </c>
      <c r="K835" s="53"/>
      <c r="L835" s="53"/>
      <c r="M835" s="53"/>
      <c r="N835" s="53"/>
      <c r="O835" s="54"/>
      <c r="P835" s="44"/>
      <c r="Q835" s="78"/>
      <c r="R835" s="78"/>
      <c r="S835" s="78"/>
    </row>
    <row r="836" spans="1:19" ht="18.75">
      <c r="A836" s="56"/>
      <c r="B836" s="56"/>
      <c r="C836" s="55"/>
      <c r="D836" s="56"/>
      <c r="E836" s="56"/>
      <c r="F836" s="63"/>
      <c r="G836" s="53"/>
      <c r="H836" s="53"/>
      <c r="I836" s="53"/>
      <c r="J836" s="53"/>
      <c r="K836" s="53"/>
      <c r="L836" s="53"/>
      <c r="M836" s="53"/>
      <c r="N836" s="53"/>
      <c r="O836" s="54"/>
      <c r="P836" s="44"/>
      <c r="Q836" s="78"/>
      <c r="R836" s="78"/>
      <c r="S836" s="78"/>
    </row>
    <row r="837" spans="1:19" ht="18.75" hidden="1">
      <c r="A837" s="53"/>
      <c r="B837" s="53" t="s">
        <v>341</v>
      </c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4"/>
      <c r="P837" s="44"/>
      <c r="Q837" s="78"/>
      <c r="R837" s="78"/>
      <c r="S837" s="78"/>
    </row>
    <row r="838" spans="1:19" ht="18.75" hidden="1">
      <c r="A838" s="35"/>
      <c r="B838" s="53" t="s">
        <v>152</v>
      </c>
      <c r="C838" s="93"/>
      <c r="D838" s="140">
        <v>100</v>
      </c>
      <c r="E838" s="140"/>
      <c r="F838" s="140"/>
      <c r="G838" s="140"/>
      <c r="H838" s="56"/>
      <c r="I838" s="53"/>
      <c r="J838" s="53"/>
      <c r="K838" s="53"/>
      <c r="L838" s="53"/>
      <c r="M838" s="53"/>
      <c r="N838" s="53"/>
      <c r="O838" s="54"/>
      <c r="P838" s="44"/>
      <c r="Q838" s="78"/>
      <c r="R838" s="78"/>
      <c r="S838" s="78"/>
    </row>
    <row r="839" spans="1:19" ht="18.75" hidden="1">
      <c r="A839" s="35"/>
      <c r="B839" s="53" t="s">
        <v>153</v>
      </c>
      <c r="C839" s="53"/>
      <c r="D839" s="93"/>
      <c r="E839" s="93"/>
      <c r="F839" s="142" t="s">
        <v>278</v>
      </c>
      <c r="G839" s="142"/>
      <c r="H839" s="142"/>
      <c r="I839" s="142"/>
      <c r="J839" s="56"/>
      <c r="K839" s="53"/>
      <c r="L839" s="53"/>
      <c r="M839" s="53"/>
      <c r="N839" s="53"/>
      <c r="O839" s="54"/>
      <c r="P839" s="44"/>
      <c r="Q839" s="78"/>
      <c r="R839" s="78"/>
      <c r="S839" s="78"/>
    </row>
    <row r="840" spans="1:19" ht="18.75" hidden="1">
      <c r="A840" s="53"/>
      <c r="B840" s="53"/>
      <c r="C840" s="53"/>
      <c r="D840" s="56"/>
      <c r="E840" s="56"/>
      <c r="F840" s="56"/>
      <c r="G840" s="56"/>
      <c r="H840" s="56"/>
      <c r="I840" s="53"/>
      <c r="J840" s="53"/>
      <c r="K840" s="53"/>
      <c r="L840" s="53"/>
      <c r="M840" s="53"/>
      <c r="N840" s="53"/>
      <c r="O840" s="54"/>
      <c r="P840" s="44"/>
      <c r="Q840" s="78"/>
      <c r="R840" s="78"/>
      <c r="S840" s="78"/>
    </row>
    <row r="841" spans="1:19" ht="18.75" hidden="1">
      <c r="A841" s="53"/>
      <c r="B841" s="53" t="s">
        <v>394</v>
      </c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4"/>
      <c r="P841" s="44"/>
      <c r="Q841" s="78"/>
      <c r="R841" s="78"/>
      <c r="S841" s="78"/>
    </row>
    <row r="842" spans="1:19" ht="18.75" hidden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4"/>
      <c r="P842" s="44"/>
      <c r="Q842" s="78"/>
      <c r="R842" s="78"/>
      <c r="S842" s="78"/>
    </row>
    <row r="843" spans="1:19" ht="18.75" hidden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4"/>
      <c r="P843" s="44"/>
      <c r="Q843" s="78"/>
      <c r="R843" s="78"/>
      <c r="S843" s="78"/>
    </row>
    <row r="844" spans="1:19" ht="52.5" customHeight="1" hidden="1">
      <c r="A844" s="49" t="s">
        <v>155</v>
      </c>
      <c r="B844" s="232" t="s">
        <v>156</v>
      </c>
      <c r="C844" s="237"/>
      <c r="D844" s="237"/>
      <c r="E844" s="233"/>
      <c r="F844" s="259" t="s">
        <v>157</v>
      </c>
      <c r="G844" s="259"/>
      <c r="H844" s="61" t="s">
        <v>158</v>
      </c>
      <c r="I844" s="61" t="s">
        <v>159</v>
      </c>
      <c r="J844" s="259" t="s">
        <v>160</v>
      </c>
      <c r="K844" s="259"/>
      <c r="L844" s="53"/>
      <c r="M844" s="53"/>
      <c r="N844" s="53"/>
      <c r="O844" s="155"/>
      <c r="P844" s="50"/>
      <c r="Q844" s="78"/>
      <c r="R844" s="78"/>
      <c r="S844" s="78"/>
    </row>
    <row r="845" spans="1:20" ht="20.25" customHeight="1" hidden="1">
      <c r="A845" s="187">
        <v>1</v>
      </c>
      <c r="B845" s="227">
        <v>2</v>
      </c>
      <c r="C845" s="229"/>
      <c r="D845" s="229"/>
      <c r="E845" s="228"/>
      <c r="F845" s="227">
        <v>3</v>
      </c>
      <c r="G845" s="228"/>
      <c r="H845" s="191">
        <v>4</v>
      </c>
      <c r="I845" s="119">
        <v>5</v>
      </c>
      <c r="J845" s="227">
        <v>6</v>
      </c>
      <c r="K845" s="228"/>
      <c r="L845" s="53"/>
      <c r="M845" s="53"/>
      <c r="N845" s="53"/>
      <c r="O845" s="155"/>
      <c r="P845" s="50"/>
      <c r="Q845" s="78" t="s">
        <v>308</v>
      </c>
      <c r="R845" s="78">
        <f>Q846</f>
        <v>14536.4</v>
      </c>
      <c r="S845" s="78" t="s">
        <v>568</v>
      </c>
      <c r="T845" s="80">
        <f>R845+R853</f>
        <v>18926.47</v>
      </c>
    </row>
    <row r="846" spans="1:20" ht="42.75" customHeight="1" hidden="1">
      <c r="A846" s="187">
        <v>1</v>
      </c>
      <c r="B846" s="198" t="s">
        <v>414</v>
      </c>
      <c r="C846" s="199"/>
      <c r="D846" s="199"/>
      <c r="E846" s="200"/>
      <c r="F846" s="203">
        <v>211</v>
      </c>
      <c r="G846" s="203"/>
      <c r="H846" s="52">
        <f>J846/I846</f>
        <v>564.8208333333333</v>
      </c>
      <c r="I846" s="147">
        <v>12</v>
      </c>
      <c r="J846" s="215">
        <v>6777.85</v>
      </c>
      <c r="K846" s="215"/>
      <c r="L846" s="53"/>
      <c r="M846" s="130"/>
      <c r="N846" s="53"/>
      <c r="O846" s="54"/>
      <c r="P846" s="44"/>
      <c r="Q846" s="78">
        <v>14536.4</v>
      </c>
      <c r="R846" s="78">
        <f>J846+J847-Q846</f>
        <v>7602.429999999995</v>
      </c>
      <c r="S846" s="78" t="s">
        <v>569</v>
      </c>
      <c r="T846" s="8"/>
    </row>
    <row r="847" spans="1:20" ht="42.75" customHeight="1" hidden="1">
      <c r="A847" s="187">
        <v>1</v>
      </c>
      <c r="B847" s="198" t="s">
        <v>545</v>
      </c>
      <c r="C847" s="199"/>
      <c r="D847" s="199"/>
      <c r="E847" s="200"/>
      <c r="F847" s="203">
        <v>211</v>
      </c>
      <c r="G847" s="203"/>
      <c r="H847" s="52">
        <f>J847/I847</f>
        <v>1280.0816666666663</v>
      </c>
      <c r="I847" s="147">
        <v>12</v>
      </c>
      <c r="J847" s="215">
        <f>38402.45-23041.47</f>
        <v>15360.979999999996</v>
      </c>
      <c r="K847" s="215"/>
      <c r="L847" s="53"/>
      <c r="M847" s="130"/>
      <c r="N847" s="53"/>
      <c r="O847" s="54"/>
      <c r="P847" s="44"/>
      <c r="Q847" s="78"/>
      <c r="R847" s="78"/>
      <c r="S847" s="78" t="s">
        <v>570</v>
      </c>
      <c r="T847" s="8"/>
    </row>
    <row r="848" spans="1:20" ht="18.75" hidden="1">
      <c r="A848" s="49"/>
      <c r="B848" s="201" t="s">
        <v>130</v>
      </c>
      <c r="C848" s="226"/>
      <c r="D848" s="226"/>
      <c r="E848" s="202"/>
      <c r="F848" s="263"/>
      <c r="G848" s="263"/>
      <c r="H848" s="121" t="s">
        <v>162</v>
      </c>
      <c r="I848" s="122"/>
      <c r="J848" s="215">
        <f>SUM(J846:K847)</f>
        <v>22138.829999999994</v>
      </c>
      <c r="K848" s="215"/>
      <c r="L848" s="53"/>
      <c r="M848" s="53"/>
      <c r="N848" s="53"/>
      <c r="O848" s="54"/>
      <c r="P848" s="46"/>
      <c r="Q848" s="78"/>
      <c r="R848" s="78"/>
      <c r="S848" s="78"/>
      <c r="T848" s="8"/>
    </row>
    <row r="849" spans="1:20" ht="18.75">
      <c r="A849" s="56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4"/>
      <c r="P849" s="44"/>
      <c r="Q849" s="78"/>
      <c r="R849" s="78"/>
      <c r="S849" s="78" t="s">
        <v>571</v>
      </c>
      <c r="T849" s="8"/>
    </row>
    <row r="850" spans="1:20" ht="18.75" hidden="1">
      <c r="A850" s="56"/>
      <c r="B850" s="53" t="s">
        <v>395</v>
      </c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4"/>
      <c r="P850" s="44"/>
      <c r="Q850" s="78"/>
      <c r="R850" s="78"/>
      <c r="S850" s="78"/>
      <c r="T850" s="8"/>
    </row>
    <row r="851" spans="1:20" ht="18.75" hidden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4"/>
      <c r="P851" s="44"/>
      <c r="Q851" s="78"/>
      <c r="R851" s="78"/>
      <c r="S851" s="78"/>
      <c r="T851" s="8"/>
    </row>
    <row r="852" spans="1:20" ht="93.75" hidden="1">
      <c r="A852" s="49" t="s">
        <v>155</v>
      </c>
      <c r="B852" s="203" t="s">
        <v>167</v>
      </c>
      <c r="C852" s="203"/>
      <c r="D852" s="203"/>
      <c r="E852" s="203"/>
      <c r="F852" s="259" t="s">
        <v>168</v>
      </c>
      <c r="G852" s="259"/>
      <c r="H852" s="61" t="s">
        <v>169</v>
      </c>
      <c r="I852" s="259" t="s">
        <v>170</v>
      </c>
      <c r="J852" s="259"/>
      <c r="K852" s="53"/>
      <c r="L852" s="53"/>
      <c r="M852" s="53"/>
      <c r="N852" s="53"/>
      <c r="O852" s="54"/>
      <c r="P852" s="44"/>
      <c r="Q852" s="78"/>
      <c r="R852" s="78"/>
      <c r="S852" s="78"/>
      <c r="T852" s="8"/>
    </row>
    <row r="853" spans="1:19" ht="18.75" hidden="1">
      <c r="A853" s="187">
        <v>1</v>
      </c>
      <c r="B853" s="203">
        <v>2</v>
      </c>
      <c r="C853" s="203"/>
      <c r="D853" s="203"/>
      <c r="E853" s="203"/>
      <c r="F853" s="203">
        <v>3</v>
      </c>
      <c r="G853" s="203"/>
      <c r="H853" s="187">
        <v>4</v>
      </c>
      <c r="I853" s="203">
        <v>5</v>
      </c>
      <c r="J853" s="203"/>
      <c r="K853" s="53"/>
      <c r="L853" s="53"/>
      <c r="M853" s="53"/>
      <c r="N853" s="53"/>
      <c r="O853" s="54"/>
      <c r="P853" s="44"/>
      <c r="Q853" s="78" t="s">
        <v>309</v>
      </c>
      <c r="R853" s="78">
        <f>Q854</f>
        <v>4390.07</v>
      </c>
      <c r="S853" s="78"/>
    </row>
    <row r="854" spans="1:19" ht="18.75" customHeight="1" hidden="1">
      <c r="A854" s="49">
        <v>1</v>
      </c>
      <c r="B854" s="204" t="s">
        <v>415</v>
      </c>
      <c r="C854" s="205"/>
      <c r="D854" s="205"/>
      <c r="E854" s="206"/>
      <c r="F854" s="203">
        <v>213</v>
      </c>
      <c r="G854" s="203"/>
      <c r="H854" s="123">
        <v>30.2</v>
      </c>
      <c r="I854" s="215">
        <v>2046.91</v>
      </c>
      <c r="J854" s="215"/>
      <c r="K854" s="53"/>
      <c r="L854" s="130"/>
      <c r="M854" s="53"/>
      <c r="N854" s="53"/>
      <c r="O854" s="54"/>
      <c r="P854" s="44"/>
      <c r="Q854" s="78">
        <v>4390.07</v>
      </c>
      <c r="R854" s="78">
        <f>I854+I855-Q854</f>
        <v>2295.8599999999997</v>
      </c>
      <c r="S854" s="78"/>
    </row>
    <row r="855" spans="1:19" ht="18.75" customHeight="1" hidden="1">
      <c r="A855" s="49">
        <v>2</v>
      </c>
      <c r="B855" s="204" t="s">
        <v>171</v>
      </c>
      <c r="C855" s="205"/>
      <c r="D855" s="205"/>
      <c r="E855" s="206"/>
      <c r="F855" s="203">
        <v>213</v>
      </c>
      <c r="G855" s="203"/>
      <c r="H855" s="123">
        <v>30.2</v>
      </c>
      <c r="I855" s="215">
        <f>11597.55-6958.53</f>
        <v>4639.0199999999995</v>
      </c>
      <c r="J855" s="215"/>
      <c r="K855" s="53"/>
      <c r="L855" s="53"/>
      <c r="M855" s="53"/>
      <c r="N855" s="53"/>
      <c r="O855" s="54"/>
      <c r="P855" s="44"/>
      <c r="Q855" s="78"/>
      <c r="R855" s="78"/>
      <c r="S855" s="78"/>
    </row>
    <row r="856" spans="1:19" ht="18.75" hidden="1">
      <c r="A856" s="49"/>
      <c r="B856" s="203" t="s">
        <v>130</v>
      </c>
      <c r="C856" s="203"/>
      <c r="D856" s="203"/>
      <c r="E856" s="203"/>
      <c r="F856" s="203"/>
      <c r="G856" s="203"/>
      <c r="H856" s="49" t="s">
        <v>172</v>
      </c>
      <c r="I856" s="215">
        <f>SUM(I854:J855)</f>
        <v>6685.929999999999</v>
      </c>
      <c r="J856" s="215"/>
      <c r="K856" s="53"/>
      <c r="L856" s="53"/>
      <c r="M856" s="53"/>
      <c r="N856" s="53"/>
      <c r="O856" s="54"/>
      <c r="P856" s="46"/>
      <c r="Q856" s="78"/>
      <c r="R856" s="78"/>
      <c r="S856" s="78"/>
    </row>
    <row r="857" spans="1:19" ht="18.75" hidden="1">
      <c r="A857" s="53"/>
      <c r="B857" s="53"/>
      <c r="C857" s="56"/>
      <c r="D857" s="56"/>
      <c r="E857" s="56"/>
      <c r="F857" s="56"/>
      <c r="G857" s="53"/>
      <c r="H857" s="53"/>
      <c r="I857" s="53"/>
      <c r="J857" s="53"/>
      <c r="K857" s="53"/>
      <c r="L857" s="53"/>
      <c r="M857" s="53"/>
      <c r="N857" s="53"/>
      <c r="O857" s="54"/>
      <c r="P857" s="44"/>
      <c r="Q857" s="78"/>
      <c r="R857" s="78"/>
      <c r="S857" s="78"/>
    </row>
    <row r="858" spans="1:19" ht="18.75" hidden="1">
      <c r="A858" s="53"/>
      <c r="B858" s="53" t="s">
        <v>220</v>
      </c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4"/>
      <c r="P858" s="44"/>
      <c r="Q858" s="78"/>
      <c r="R858" s="78"/>
      <c r="S858" s="78"/>
    </row>
    <row r="859" spans="1:19" ht="18.75" hidden="1">
      <c r="A859" s="35"/>
      <c r="B859" s="53" t="s">
        <v>179</v>
      </c>
      <c r="C859" s="53"/>
      <c r="D859" s="140">
        <v>244</v>
      </c>
      <c r="E859" s="140"/>
      <c r="F859" s="140"/>
      <c r="G859" s="56"/>
      <c r="H859" s="53"/>
      <c r="I859" s="53"/>
      <c r="J859" s="53"/>
      <c r="K859" s="53"/>
      <c r="L859" s="53"/>
      <c r="M859" s="53"/>
      <c r="N859" s="53"/>
      <c r="O859" s="54"/>
      <c r="P859" s="44"/>
      <c r="Q859" s="78"/>
      <c r="R859" s="78"/>
      <c r="S859" s="78"/>
    </row>
    <row r="860" spans="1:19" ht="18.75" hidden="1">
      <c r="A860" s="35"/>
      <c r="B860" s="53" t="s">
        <v>153</v>
      </c>
      <c r="C860" s="53"/>
      <c r="D860" s="142" t="s">
        <v>154</v>
      </c>
      <c r="E860" s="142"/>
      <c r="F860" s="142"/>
      <c r="G860" s="56"/>
      <c r="H860" s="53"/>
      <c r="I860" s="53"/>
      <c r="J860" s="53"/>
      <c r="K860" s="53"/>
      <c r="L860" s="53"/>
      <c r="M860" s="53"/>
      <c r="N860" s="53"/>
      <c r="O860" s="54"/>
      <c r="P860" s="44"/>
      <c r="Q860" s="78"/>
      <c r="R860" s="78"/>
      <c r="S860" s="78"/>
    </row>
    <row r="861" spans="1:19" ht="18.75" hidden="1">
      <c r="A861" s="53"/>
      <c r="B861" s="53"/>
      <c r="C861" s="56"/>
      <c r="D861" s="56"/>
      <c r="E861" s="56"/>
      <c r="F861" s="56"/>
      <c r="G861" s="53"/>
      <c r="H861" s="53"/>
      <c r="I861" s="53"/>
      <c r="J861" s="53"/>
      <c r="K861" s="53"/>
      <c r="L861" s="53"/>
      <c r="M861" s="53"/>
      <c r="N861" s="53"/>
      <c r="O861" s="54"/>
      <c r="P861" s="44"/>
      <c r="Q861" s="78"/>
      <c r="R861" s="78"/>
      <c r="S861" s="78"/>
    </row>
    <row r="862" spans="1:19" ht="18.75" hidden="1">
      <c r="A862" s="53"/>
      <c r="B862" s="53" t="s">
        <v>245</v>
      </c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4"/>
      <c r="P862" s="44"/>
      <c r="Q862" s="78"/>
      <c r="R862" s="78"/>
      <c r="S862" s="78"/>
    </row>
    <row r="863" spans="1:19" ht="18.75" hidden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4"/>
      <c r="P863" s="44"/>
      <c r="Q863" s="78"/>
      <c r="R863" s="78"/>
      <c r="S863" s="78"/>
    </row>
    <row r="864" spans="1:19" ht="56.25" customHeight="1" hidden="1">
      <c r="A864" s="49" t="s">
        <v>155</v>
      </c>
      <c r="B864" s="227" t="s">
        <v>0</v>
      </c>
      <c r="C864" s="229"/>
      <c r="D864" s="228"/>
      <c r="E864" s="227" t="s">
        <v>168</v>
      </c>
      <c r="F864" s="228"/>
      <c r="G864" s="227" t="s">
        <v>189</v>
      </c>
      <c r="H864" s="228"/>
      <c r="I864" s="61" t="s">
        <v>190</v>
      </c>
      <c r="J864" s="61" t="s">
        <v>191</v>
      </c>
      <c r="K864" s="53"/>
      <c r="L864" s="53"/>
      <c r="M864" s="53"/>
      <c r="N864" s="53"/>
      <c r="O864" s="54"/>
      <c r="P864" s="60"/>
      <c r="Q864" s="78"/>
      <c r="R864" s="78"/>
      <c r="S864" s="78"/>
    </row>
    <row r="865" spans="1:19" ht="18.75" hidden="1">
      <c r="A865" s="187">
        <v>1</v>
      </c>
      <c r="B865" s="201">
        <v>2</v>
      </c>
      <c r="C865" s="226"/>
      <c r="D865" s="202"/>
      <c r="E865" s="201">
        <v>3</v>
      </c>
      <c r="F865" s="202"/>
      <c r="G865" s="201">
        <v>4</v>
      </c>
      <c r="H865" s="202"/>
      <c r="I865" s="187">
        <v>5</v>
      </c>
      <c r="J865" s="187">
        <v>6</v>
      </c>
      <c r="K865" s="193"/>
      <c r="L865" s="193"/>
      <c r="M865" s="193"/>
      <c r="N865" s="193"/>
      <c r="O865" s="62"/>
      <c r="P865" s="45"/>
      <c r="Q865" s="78"/>
      <c r="R865" s="78"/>
      <c r="S865" s="78"/>
    </row>
    <row r="866" spans="1:19" ht="93.75" customHeight="1" hidden="1">
      <c r="A866" s="49">
        <v>1</v>
      </c>
      <c r="B866" s="198"/>
      <c r="C866" s="199"/>
      <c r="D866" s="200"/>
      <c r="E866" s="201">
        <v>310</v>
      </c>
      <c r="F866" s="202"/>
      <c r="G866" s="238"/>
      <c r="H866" s="239"/>
      <c r="I866" s="52"/>
      <c r="J866" s="52"/>
      <c r="K866" s="53"/>
      <c r="L866" s="53"/>
      <c r="M866" s="53"/>
      <c r="N866" s="53"/>
      <c r="O866" s="54"/>
      <c r="P866" s="44"/>
      <c r="Q866" s="78"/>
      <c r="R866" s="78"/>
      <c r="S866" s="78"/>
    </row>
    <row r="867" spans="1:19" ht="18.75" customHeight="1" hidden="1">
      <c r="A867" s="49"/>
      <c r="B867" s="253" t="s">
        <v>130</v>
      </c>
      <c r="C867" s="254"/>
      <c r="D867" s="255"/>
      <c r="E867" s="201"/>
      <c r="F867" s="202"/>
      <c r="G867" s="201"/>
      <c r="H867" s="202"/>
      <c r="I867" s="49" t="s">
        <v>6</v>
      </c>
      <c r="J867" s="183">
        <f>SUM(J866:J866)</f>
        <v>0</v>
      </c>
      <c r="K867" s="53"/>
      <c r="L867" s="53"/>
      <c r="M867" s="53"/>
      <c r="N867" s="53"/>
      <c r="O867" s="54"/>
      <c r="P867" s="51"/>
      <c r="Q867" s="78"/>
      <c r="R867" s="78"/>
      <c r="S867" s="78"/>
    </row>
    <row r="868" spans="1:19" ht="18.75" hidden="1">
      <c r="A868" s="56"/>
      <c r="B868" s="56"/>
      <c r="C868" s="56"/>
      <c r="D868" s="56"/>
      <c r="E868" s="56"/>
      <c r="F868" s="146"/>
      <c r="G868" s="53"/>
      <c r="H868" s="53"/>
      <c r="I868" s="53"/>
      <c r="J868" s="53"/>
      <c r="K868" s="53"/>
      <c r="L868" s="53"/>
      <c r="M868" s="53"/>
      <c r="N868" s="53"/>
      <c r="O868" s="54"/>
      <c r="P868" s="47"/>
      <c r="Q868" s="78"/>
      <c r="R868" s="78"/>
      <c r="S868" s="78"/>
    </row>
    <row r="869" spans="1:19" ht="18.75" hidden="1">
      <c r="A869" s="53"/>
      <c r="B869" s="57" t="s">
        <v>246</v>
      </c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3"/>
      <c r="O869" s="54"/>
      <c r="P869" s="44"/>
      <c r="Q869" s="78"/>
      <c r="R869" s="78"/>
      <c r="S869" s="78"/>
    </row>
    <row r="870" spans="1:19" ht="18.75" hidden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3"/>
      <c r="O870" s="54"/>
      <c r="P870" s="44"/>
      <c r="Q870" s="78"/>
      <c r="R870" s="78"/>
      <c r="S870" s="78"/>
    </row>
    <row r="871" spans="1:19" ht="56.25" customHeight="1" hidden="1">
      <c r="A871" s="49" t="s">
        <v>155</v>
      </c>
      <c r="B871" s="227" t="s">
        <v>0</v>
      </c>
      <c r="C871" s="229"/>
      <c r="D871" s="228"/>
      <c r="E871" s="227" t="s">
        <v>168</v>
      </c>
      <c r="F871" s="228"/>
      <c r="G871" s="227" t="s">
        <v>189</v>
      </c>
      <c r="H871" s="228"/>
      <c r="I871" s="61" t="s">
        <v>190</v>
      </c>
      <c r="J871" s="227" t="s">
        <v>191</v>
      </c>
      <c r="K871" s="228"/>
      <c r="L871" s="53"/>
      <c r="M871" s="53"/>
      <c r="N871" s="53"/>
      <c r="O871" s="54"/>
      <c r="P871" s="44"/>
      <c r="Q871" s="78"/>
      <c r="R871" s="78"/>
      <c r="S871" s="78"/>
    </row>
    <row r="872" spans="1:19" ht="18.75" hidden="1">
      <c r="A872" s="187">
        <v>1</v>
      </c>
      <c r="B872" s="201">
        <v>2</v>
      </c>
      <c r="C872" s="226"/>
      <c r="D872" s="202"/>
      <c r="E872" s="201">
        <v>3</v>
      </c>
      <c r="F872" s="202"/>
      <c r="G872" s="201">
        <v>4</v>
      </c>
      <c r="H872" s="202"/>
      <c r="I872" s="187">
        <v>5</v>
      </c>
      <c r="J872" s="201">
        <v>6</v>
      </c>
      <c r="K872" s="202"/>
      <c r="L872" s="193"/>
      <c r="M872" s="193"/>
      <c r="N872" s="193"/>
      <c r="O872" s="62"/>
      <c r="P872" s="45"/>
      <c r="Q872" s="78"/>
      <c r="R872" s="78"/>
      <c r="S872" s="78"/>
    </row>
    <row r="873" spans="1:19" ht="18.75" customHeight="1" hidden="1">
      <c r="A873" s="49">
        <v>1</v>
      </c>
      <c r="B873" s="227" t="s">
        <v>210</v>
      </c>
      <c r="C873" s="229"/>
      <c r="D873" s="228"/>
      <c r="E873" s="201">
        <v>342</v>
      </c>
      <c r="F873" s="202"/>
      <c r="G873" s="201"/>
      <c r="H873" s="202"/>
      <c r="I873" s="52" t="e">
        <f>ROUND(J873/G873,2)</f>
        <v>#DIV/0!</v>
      </c>
      <c r="J873" s="243"/>
      <c r="K873" s="244"/>
      <c r="L873" s="53"/>
      <c r="M873" s="53"/>
      <c r="N873" s="53"/>
      <c r="O873" s="54"/>
      <c r="P873" s="44"/>
      <c r="Q873" s="78"/>
      <c r="R873" s="78"/>
      <c r="S873" s="78"/>
    </row>
    <row r="874" spans="1:19" ht="18.75" hidden="1">
      <c r="A874" s="49"/>
      <c r="B874" s="201" t="s">
        <v>130</v>
      </c>
      <c r="C874" s="226"/>
      <c r="D874" s="202"/>
      <c r="E874" s="201"/>
      <c r="F874" s="202"/>
      <c r="G874" s="201"/>
      <c r="H874" s="202"/>
      <c r="I874" s="49" t="s">
        <v>6</v>
      </c>
      <c r="J874" s="243">
        <f>SUM(J873:J873)</f>
        <v>0</v>
      </c>
      <c r="K874" s="244"/>
      <c r="L874" s="53"/>
      <c r="M874" s="53"/>
      <c r="N874" s="53"/>
      <c r="O874" s="54"/>
      <c r="P874" s="46"/>
      <c r="Q874" s="78"/>
      <c r="R874" s="78"/>
      <c r="S874" s="78"/>
    </row>
    <row r="875" spans="1:19" ht="18.75" hidden="1">
      <c r="A875" s="56"/>
      <c r="B875" s="56"/>
      <c r="C875" s="56"/>
      <c r="D875" s="56"/>
      <c r="E875" s="56"/>
      <c r="F875" s="63"/>
      <c r="G875" s="53"/>
      <c r="H875" s="53"/>
      <c r="I875" s="53"/>
      <c r="J875" s="53"/>
      <c r="K875" s="53"/>
      <c r="L875" s="53"/>
      <c r="M875" s="53"/>
      <c r="N875" s="53"/>
      <c r="O875" s="54"/>
      <c r="P875" s="44"/>
      <c r="Q875" s="78"/>
      <c r="R875" s="78"/>
      <c r="S875" s="78"/>
    </row>
    <row r="876" spans="1:19" ht="18.75" hidden="1">
      <c r="A876" s="53"/>
      <c r="B876" s="57" t="s">
        <v>247</v>
      </c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3"/>
      <c r="O876" s="54"/>
      <c r="P876" s="44"/>
      <c r="Q876" s="78"/>
      <c r="R876" s="78"/>
      <c r="S876" s="78"/>
    </row>
    <row r="877" spans="1:19" ht="18.75" hidden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3"/>
      <c r="O877" s="54"/>
      <c r="P877" s="44"/>
      <c r="Q877" s="78"/>
      <c r="R877" s="78"/>
      <c r="S877" s="78"/>
    </row>
    <row r="878" spans="1:19" ht="56.25" hidden="1">
      <c r="A878" s="49" t="s">
        <v>155</v>
      </c>
      <c r="B878" s="259" t="s">
        <v>0</v>
      </c>
      <c r="C878" s="259"/>
      <c r="D878" s="259"/>
      <c r="E878" s="259" t="s">
        <v>168</v>
      </c>
      <c r="F878" s="259"/>
      <c r="G878" s="259" t="s">
        <v>189</v>
      </c>
      <c r="H878" s="259"/>
      <c r="I878" s="61" t="s">
        <v>190</v>
      </c>
      <c r="J878" s="61" t="s">
        <v>191</v>
      </c>
      <c r="K878" s="53"/>
      <c r="L878" s="53"/>
      <c r="M878" s="53"/>
      <c r="N878" s="53"/>
      <c r="O878" s="54"/>
      <c r="P878" s="44"/>
      <c r="Q878" s="78"/>
      <c r="R878" s="78"/>
      <c r="S878" s="78"/>
    </row>
    <row r="879" spans="1:19" ht="18.75" hidden="1">
      <c r="A879" s="187">
        <v>1</v>
      </c>
      <c r="B879" s="201">
        <v>2</v>
      </c>
      <c r="C879" s="226"/>
      <c r="D879" s="202"/>
      <c r="E879" s="203">
        <v>3</v>
      </c>
      <c r="F879" s="203"/>
      <c r="G879" s="203">
        <v>4</v>
      </c>
      <c r="H879" s="203"/>
      <c r="I879" s="187">
        <v>5</v>
      </c>
      <c r="J879" s="187">
        <v>6</v>
      </c>
      <c r="K879" s="193"/>
      <c r="L879" s="193"/>
      <c r="M879" s="193"/>
      <c r="N879" s="193"/>
      <c r="O879" s="62"/>
      <c r="P879" s="45"/>
      <c r="Q879" s="78"/>
      <c r="R879" s="78"/>
      <c r="S879" s="78"/>
    </row>
    <row r="880" spans="1:19" ht="18.75" hidden="1">
      <c r="A880" s="49">
        <v>1</v>
      </c>
      <c r="B880" s="198" t="s">
        <v>221</v>
      </c>
      <c r="C880" s="199"/>
      <c r="D880" s="200"/>
      <c r="E880" s="203">
        <v>345</v>
      </c>
      <c r="F880" s="203"/>
      <c r="G880" s="203">
        <v>1</v>
      </c>
      <c r="H880" s="203"/>
      <c r="I880" s="52">
        <f>ROUND(J880/G880,2)</f>
        <v>0</v>
      </c>
      <c r="J880" s="52"/>
      <c r="K880" s="53"/>
      <c r="L880" s="53"/>
      <c r="M880" s="53"/>
      <c r="N880" s="53"/>
      <c r="O880" s="54"/>
      <c r="P880" s="44"/>
      <c r="Q880" s="78"/>
      <c r="R880" s="78"/>
      <c r="S880" s="78"/>
    </row>
    <row r="881" spans="1:19" ht="18.75" hidden="1">
      <c r="A881" s="49"/>
      <c r="B881" s="253" t="s">
        <v>130</v>
      </c>
      <c r="C881" s="254"/>
      <c r="D881" s="255"/>
      <c r="E881" s="203"/>
      <c r="F881" s="203"/>
      <c r="G881" s="203"/>
      <c r="H881" s="203"/>
      <c r="I881" s="49" t="s">
        <v>6</v>
      </c>
      <c r="J881" s="52">
        <f>SUM(J880:J880)</f>
        <v>0</v>
      </c>
      <c r="K881" s="53"/>
      <c r="L881" s="53"/>
      <c r="M881" s="53"/>
      <c r="N881" s="53"/>
      <c r="O881" s="54"/>
      <c r="P881" s="46"/>
      <c r="Q881" s="78"/>
      <c r="R881" s="78"/>
      <c r="S881" s="78"/>
    </row>
    <row r="882" spans="1:19" ht="18.75" hidden="1">
      <c r="A882" s="56"/>
      <c r="B882" s="56"/>
      <c r="C882" s="56"/>
      <c r="D882" s="56"/>
      <c r="E882" s="56"/>
      <c r="F882" s="63"/>
      <c r="G882" s="53"/>
      <c r="H882" s="53"/>
      <c r="I882" s="53"/>
      <c r="J882" s="53"/>
      <c r="K882" s="53"/>
      <c r="L882" s="53"/>
      <c r="M882" s="53"/>
      <c r="N882" s="53"/>
      <c r="O882" s="54"/>
      <c r="P882" s="44"/>
      <c r="Q882" s="78"/>
      <c r="R882" s="78"/>
      <c r="S882" s="78"/>
    </row>
    <row r="883" spans="1:19" ht="18.75">
      <c r="A883" s="53"/>
      <c r="B883" s="53" t="s">
        <v>333</v>
      </c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130"/>
      <c r="N883" s="53"/>
      <c r="O883" s="54"/>
      <c r="P883" s="44"/>
      <c r="Q883" s="78"/>
      <c r="R883" s="78"/>
      <c r="S883" s="78"/>
    </row>
    <row r="884" spans="1:19" ht="18.75">
      <c r="A884" s="35"/>
      <c r="B884" s="53" t="s">
        <v>179</v>
      </c>
      <c r="C884" s="53"/>
      <c r="D884" s="140">
        <v>244</v>
      </c>
      <c r="E884" s="140"/>
      <c r="F884" s="140"/>
      <c r="G884" s="56"/>
      <c r="H884" s="53"/>
      <c r="I884" s="53"/>
      <c r="J884" s="53"/>
      <c r="K884" s="53"/>
      <c r="L884" s="53"/>
      <c r="M884" s="53"/>
      <c r="N884" s="53"/>
      <c r="O884" s="54"/>
      <c r="P884" s="44"/>
      <c r="Q884" s="78"/>
      <c r="R884" s="78"/>
      <c r="S884" s="78"/>
    </row>
    <row r="885" spans="1:19" ht="18.75">
      <c r="A885" s="35"/>
      <c r="B885" s="53" t="s">
        <v>153</v>
      </c>
      <c r="C885" s="53"/>
      <c r="D885" s="142" t="s">
        <v>278</v>
      </c>
      <c r="E885" s="142"/>
      <c r="F885" s="142"/>
      <c r="G885" s="56"/>
      <c r="H885" s="53"/>
      <c r="I885" s="53"/>
      <c r="J885" s="53"/>
      <c r="K885" s="53"/>
      <c r="L885" s="53"/>
      <c r="M885" s="53"/>
      <c r="N885" s="53"/>
      <c r="O885" s="54"/>
      <c r="P885" s="44"/>
      <c r="Q885" s="78"/>
      <c r="R885" s="78"/>
      <c r="S885" s="78"/>
    </row>
    <row r="886" spans="1:19" ht="18.75">
      <c r="A886" s="35"/>
      <c r="B886" s="53"/>
      <c r="C886" s="53"/>
      <c r="D886" s="56"/>
      <c r="E886" s="56"/>
      <c r="F886" s="56"/>
      <c r="G886" s="56"/>
      <c r="H886" s="53"/>
      <c r="I886" s="53"/>
      <c r="J886" s="53"/>
      <c r="K886" s="53"/>
      <c r="L886" s="53"/>
      <c r="M886" s="53"/>
      <c r="N886" s="53"/>
      <c r="O886" s="54"/>
      <c r="P886" s="44"/>
      <c r="Q886" s="78"/>
      <c r="R886" s="78"/>
      <c r="S886" s="78"/>
    </row>
    <row r="887" spans="1:19" ht="18.75">
      <c r="A887" s="35"/>
      <c r="B887" s="53"/>
      <c r="C887" s="53"/>
      <c r="D887" s="56"/>
      <c r="E887" s="56"/>
      <c r="F887" s="56"/>
      <c r="G887" s="56"/>
      <c r="H887" s="53"/>
      <c r="I887" s="53"/>
      <c r="J887" s="53"/>
      <c r="K887" s="53"/>
      <c r="L887" s="53"/>
      <c r="M887" s="53"/>
      <c r="N887" s="53"/>
      <c r="O887" s="54"/>
      <c r="P887" s="44"/>
      <c r="Q887" s="78"/>
      <c r="R887" s="78"/>
      <c r="S887" s="78"/>
    </row>
    <row r="888" spans="1:19" ht="18.75" hidden="1">
      <c r="A888" s="53"/>
      <c r="B888" s="53" t="s">
        <v>269</v>
      </c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4"/>
      <c r="P888" s="44"/>
      <c r="Q888" s="78"/>
      <c r="R888" s="78"/>
      <c r="S888" s="78"/>
    </row>
    <row r="889" spans="1:19" ht="18.75" hidden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4"/>
      <c r="P889" s="44"/>
      <c r="Q889" s="78"/>
      <c r="R889" s="78"/>
      <c r="S889" s="78"/>
    </row>
    <row r="890" spans="1:19" ht="37.5" hidden="1">
      <c r="A890" s="49" t="s">
        <v>155</v>
      </c>
      <c r="B890" s="259" t="s">
        <v>0</v>
      </c>
      <c r="C890" s="259"/>
      <c r="D890" s="259"/>
      <c r="E890" s="259" t="s">
        <v>168</v>
      </c>
      <c r="F890" s="259"/>
      <c r="G890" s="259" t="s">
        <v>188</v>
      </c>
      <c r="H890" s="259"/>
      <c r="I890" s="61" t="s">
        <v>173</v>
      </c>
      <c r="J890" s="53"/>
      <c r="K890" s="53"/>
      <c r="L890" s="53"/>
      <c r="M890" s="53"/>
      <c r="N890" s="53"/>
      <c r="O890" s="54"/>
      <c r="P890" s="44"/>
      <c r="Q890" s="78"/>
      <c r="R890" s="78"/>
      <c r="S890" s="78"/>
    </row>
    <row r="891" spans="1:19" ht="18.75" hidden="1">
      <c r="A891" s="187">
        <v>1</v>
      </c>
      <c r="B891" s="203">
        <v>2</v>
      </c>
      <c r="C891" s="203"/>
      <c r="D891" s="203"/>
      <c r="E891" s="203">
        <v>3</v>
      </c>
      <c r="F891" s="203"/>
      <c r="G891" s="203">
        <v>4</v>
      </c>
      <c r="H891" s="203"/>
      <c r="I891" s="187">
        <v>5</v>
      </c>
      <c r="J891" s="193"/>
      <c r="K891" s="193"/>
      <c r="L891" s="53"/>
      <c r="M891" s="53"/>
      <c r="N891" s="53"/>
      <c r="O891" s="54"/>
      <c r="P891" s="44"/>
      <c r="Q891" s="78"/>
      <c r="R891" s="78"/>
      <c r="S891" s="78"/>
    </row>
    <row r="892" spans="1:19" ht="18.75" hidden="1">
      <c r="A892" s="49">
        <v>1</v>
      </c>
      <c r="B892" s="262" t="s">
        <v>270</v>
      </c>
      <c r="C892" s="262"/>
      <c r="D892" s="262"/>
      <c r="E892" s="203">
        <v>226</v>
      </c>
      <c r="F892" s="203"/>
      <c r="G892" s="203">
        <v>1</v>
      </c>
      <c r="H892" s="203"/>
      <c r="I892" s="52"/>
      <c r="J892" s="53"/>
      <c r="K892" s="53"/>
      <c r="L892" s="53"/>
      <c r="M892" s="53"/>
      <c r="N892" s="53"/>
      <c r="O892" s="54"/>
      <c r="P892" s="44"/>
      <c r="Q892" s="78"/>
      <c r="R892" s="78"/>
      <c r="S892" s="78"/>
    </row>
    <row r="893" spans="1:19" ht="18.75" hidden="1">
      <c r="A893" s="49"/>
      <c r="B893" s="201" t="s">
        <v>130</v>
      </c>
      <c r="C893" s="226"/>
      <c r="D893" s="202"/>
      <c r="E893" s="203"/>
      <c r="F893" s="203"/>
      <c r="G893" s="203" t="s">
        <v>6</v>
      </c>
      <c r="H893" s="203"/>
      <c r="I893" s="52">
        <f>SUM(I892:I892)</f>
        <v>0</v>
      </c>
      <c r="J893" s="53"/>
      <c r="K893" s="53"/>
      <c r="L893" s="53"/>
      <c r="M893" s="53"/>
      <c r="N893" s="53"/>
      <c r="O893" s="54"/>
      <c r="P893" s="44"/>
      <c r="Q893" s="78"/>
      <c r="R893" s="78"/>
      <c r="S893" s="78"/>
    </row>
    <row r="894" spans="1:19" ht="18.75" hidden="1">
      <c r="A894" s="56"/>
      <c r="B894" s="56"/>
      <c r="C894" s="56"/>
      <c r="D894" s="56"/>
      <c r="E894" s="56"/>
      <c r="F894" s="63"/>
      <c r="G894" s="53"/>
      <c r="H894" s="53"/>
      <c r="I894" s="53"/>
      <c r="J894" s="53"/>
      <c r="K894" s="53"/>
      <c r="L894" s="53"/>
      <c r="M894" s="53"/>
      <c r="N894" s="53"/>
      <c r="O894" s="54"/>
      <c r="P894" s="44"/>
      <c r="Q894" s="78"/>
      <c r="R894" s="78"/>
      <c r="S894" s="78"/>
    </row>
    <row r="895" spans="1:19" ht="18.75">
      <c r="A895" s="53"/>
      <c r="B895" s="57" t="s">
        <v>421</v>
      </c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3"/>
      <c r="O895" s="54"/>
      <c r="P895" s="44"/>
      <c r="Q895" s="78"/>
      <c r="R895" s="78"/>
      <c r="S895" s="78"/>
    </row>
    <row r="896" spans="1:19" ht="18.7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3"/>
      <c r="O896" s="54"/>
      <c r="P896" s="44"/>
      <c r="Q896" s="78"/>
      <c r="R896" s="78"/>
      <c r="S896" s="78"/>
    </row>
    <row r="897" spans="1:19" ht="56.25" customHeight="1">
      <c r="A897" s="49" t="s">
        <v>155</v>
      </c>
      <c r="B897" s="259" t="s">
        <v>0</v>
      </c>
      <c r="C897" s="259"/>
      <c r="D897" s="259"/>
      <c r="E897" s="259" t="s">
        <v>168</v>
      </c>
      <c r="F897" s="259"/>
      <c r="G897" s="259" t="s">
        <v>189</v>
      </c>
      <c r="H897" s="259"/>
      <c r="I897" s="61" t="s">
        <v>190</v>
      </c>
      <c r="J897" s="61" t="s">
        <v>191</v>
      </c>
      <c r="K897" s="53"/>
      <c r="L897" s="53"/>
      <c r="M897" s="53"/>
      <c r="N897" s="53"/>
      <c r="O897" s="54"/>
      <c r="P897" s="44"/>
      <c r="Q897" s="78"/>
      <c r="R897" s="78"/>
      <c r="S897" s="78"/>
    </row>
    <row r="898" spans="1:19" ht="18.75">
      <c r="A898" s="187">
        <v>1</v>
      </c>
      <c r="B898" s="203">
        <v>2</v>
      </c>
      <c r="C898" s="203"/>
      <c r="D898" s="203"/>
      <c r="E898" s="203">
        <v>3</v>
      </c>
      <c r="F898" s="203"/>
      <c r="G898" s="203">
        <v>4</v>
      </c>
      <c r="H898" s="203"/>
      <c r="I898" s="187">
        <v>5</v>
      </c>
      <c r="J898" s="187">
        <v>6</v>
      </c>
      <c r="K898" s="193"/>
      <c r="L898" s="193"/>
      <c r="M898" s="193"/>
      <c r="N898" s="193"/>
      <c r="O898" s="62"/>
      <c r="P898" s="45"/>
      <c r="Q898" s="78" t="s">
        <v>321</v>
      </c>
      <c r="R898" s="78">
        <f>Q899</f>
        <v>0</v>
      </c>
      <c r="S898" s="78"/>
    </row>
    <row r="899" spans="1:19" ht="38.25" customHeight="1">
      <c r="A899" s="49">
        <v>1</v>
      </c>
      <c r="B899" s="211" t="s">
        <v>413</v>
      </c>
      <c r="C899" s="211"/>
      <c r="D899" s="211"/>
      <c r="E899" s="203">
        <v>346</v>
      </c>
      <c r="F899" s="203"/>
      <c r="G899" s="203">
        <v>45</v>
      </c>
      <c r="H899" s="203"/>
      <c r="I899" s="52">
        <f>ROUND(J899/G899,2)</f>
        <v>259.1</v>
      </c>
      <c r="J899" s="52">
        <v>11659.37</v>
      </c>
      <c r="K899" s="53"/>
      <c r="L899" s="53"/>
      <c r="M899" s="53"/>
      <c r="N899" s="53"/>
      <c r="O899" s="54"/>
      <c r="P899" s="44"/>
      <c r="Q899" s="78">
        <v>0</v>
      </c>
      <c r="R899" s="78">
        <f>J899-Q899</f>
        <v>11659.37</v>
      </c>
      <c r="S899" s="78"/>
    </row>
    <row r="900" spans="1:19" ht="18.75">
      <c r="A900" s="49"/>
      <c r="B900" s="201" t="s">
        <v>130</v>
      </c>
      <c r="C900" s="226"/>
      <c r="D900" s="202"/>
      <c r="E900" s="203"/>
      <c r="F900" s="203"/>
      <c r="G900" s="203"/>
      <c r="H900" s="203"/>
      <c r="I900" s="49" t="s">
        <v>6</v>
      </c>
      <c r="J900" s="52">
        <f>SUM(J899:J899)</f>
        <v>11659.37</v>
      </c>
      <c r="K900" s="53"/>
      <c r="L900" s="53"/>
      <c r="M900" s="53"/>
      <c r="N900" s="53"/>
      <c r="O900" s="54"/>
      <c r="P900" s="46"/>
      <c r="Q900" s="78"/>
      <c r="R900" s="78"/>
      <c r="S900" s="78"/>
    </row>
    <row r="901" spans="1:19" ht="18.75">
      <c r="A901" s="56"/>
      <c r="B901" s="56"/>
      <c r="C901" s="56"/>
      <c r="D901" s="56"/>
      <c r="E901" s="56"/>
      <c r="F901" s="63"/>
      <c r="G901" s="53"/>
      <c r="H901" s="53"/>
      <c r="I901" s="53"/>
      <c r="J901" s="53"/>
      <c r="K901" s="53"/>
      <c r="L901" s="53"/>
      <c r="M901" s="53"/>
      <c r="N901" s="53"/>
      <c r="O901" s="54"/>
      <c r="P901" s="44"/>
      <c r="Q901" s="78"/>
      <c r="R901" s="78"/>
      <c r="S901" s="78"/>
    </row>
    <row r="902" spans="1:19" ht="18.75">
      <c r="A902" s="53"/>
      <c r="B902" s="53" t="s">
        <v>227</v>
      </c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4"/>
      <c r="P902" s="44"/>
      <c r="Q902" s="78"/>
      <c r="R902" s="78"/>
      <c r="S902" s="78"/>
    </row>
    <row r="903" spans="1:19" ht="18.75">
      <c r="A903" s="35"/>
      <c r="B903" s="53" t="s">
        <v>179</v>
      </c>
      <c r="C903" s="53"/>
      <c r="D903" s="140">
        <v>244</v>
      </c>
      <c r="E903" s="140"/>
      <c r="F903" s="140"/>
      <c r="G903" s="56"/>
      <c r="H903" s="53"/>
      <c r="I903" s="53"/>
      <c r="J903" s="53"/>
      <c r="K903" s="53"/>
      <c r="L903" s="53"/>
      <c r="M903" s="53"/>
      <c r="N903" s="53"/>
      <c r="O903" s="54"/>
      <c r="P903" s="44"/>
      <c r="Q903" s="78"/>
      <c r="R903" s="78"/>
      <c r="S903" s="78"/>
    </row>
    <row r="904" spans="1:19" ht="18.75">
      <c r="A904" s="35"/>
      <c r="B904" s="53" t="s">
        <v>153</v>
      </c>
      <c r="C904" s="53"/>
      <c r="D904" s="142" t="s">
        <v>329</v>
      </c>
      <c r="E904" s="142"/>
      <c r="F904" s="142"/>
      <c r="G904" s="56"/>
      <c r="H904" s="53"/>
      <c r="I904" s="53"/>
      <c r="J904" s="53"/>
      <c r="K904" s="53"/>
      <c r="L904" s="53"/>
      <c r="M904" s="53"/>
      <c r="N904" s="53"/>
      <c r="O904" s="54"/>
      <c r="P904" s="44"/>
      <c r="Q904" s="78"/>
      <c r="R904" s="78"/>
      <c r="S904" s="78"/>
    </row>
    <row r="905" spans="1:19" ht="18.75">
      <c r="A905" s="56"/>
      <c r="B905" s="56"/>
      <c r="C905" s="56"/>
      <c r="D905" s="56"/>
      <c r="E905" s="56"/>
      <c r="F905" s="63"/>
      <c r="G905" s="53"/>
      <c r="H905" s="53"/>
      <c r="I905" s="53"/>
      <c r="J905" s="53"/>
      <c r="K905" s="53"/>
      <c r="L905" s="53"/>
      <c r="M905" s="53"/>
      <c r="N905" s="53"/>
      <c r="O905" s="54"/>
      <c r="P905" s="44"/>
      <c r="Q905" s="78"/>
      <c r="R905" s="78"/>
      <c r="S905" s="78"/>
    </row>
    <row r="906" spans="1:19" ht="18.75">
      <c r="A906" s="53"/>
      <c r="B906" s="57" t="s">
        <v>396</v>
      </c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3"/>
      <c r="O906" s="54"/>
      <c r="P906" s="44"/>
      <c r="Q906" s="78"/>
      <c r="R906" s="78"/>
      <c r="S906" s="78"/>
    </row>
    <row r="907" spans="1:19" ht="18.7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3"/>
      <c r="O907" s="54"/>
      <c r="P907" s="44"/>
      <c r="Q907" s="78"/>
      <c r="R907" s="78"/>
      <c r="S907" s="78"/>
    </row>
    <row r="908" spans="1:19" ht="56.25">
      <c r="A908" s="49" t="s">
        <v>155</v>
      </c>
      <c r="B908" s="259" t="s">
        <v>0</v>
      </c>
      <c r="C908" s="259"/>
      <c r="D908" s="259"/>
      <c r="E908" s="259" t="s">
        <v>168</v>
      </c>
      <c r="F908" s="259"/>
      <c r="G908" s="259" t="s">
        <v>189</v>
      </c>
      <c r="H908" s="259"/>
      <c r="I908" s="61" t="s">
        <v>190</v>
      </c>
      <c r="J908" s="61" t="s">
        <v>191</v>
      </c>
      <c r="K908" s="53"/>
      <c r="L908" s="53"/>
      <c r="M908" s="53"/>
      <c r="N908" s="53"/>
      <c r="O908" s="54"/>
      <c r="P908" s="44"/>
      <c r="Q908" s="78"/>
      <c r="R908" s="78"/>
      <c r="S908" s="78"/>
    </row>
    <row r="909" spans="1:19" ht="18.75">
      <c r="A909" s="187">
        <v>1</v>
      </c>
      <c r="B909" s="203">
        <v>2</v>
      </c>
      <c r="C909" s="203"/>
      <c r="D909" s="203"/>
      <c r="E909" s="203">
        <v>3</v>
      </c>
      <c r="F909" s="203"/>
      <c r="G909" s="203">
        <v>4</v>
      </c>
      <c r="H909" s="203"/>
      <c r="I909" s="187">
        <v>5</v>
      </c>
      <c r="J909" s="187">
        <v>6</v>
      </c>
      <c r="K909" s="193"/>
      <c r="L909" s="193"/>
      <c r="M909" s="193"/>
      <c r="N909" s="193"/>
      <c r="O909" s="62"/>
      <c r="P909" s="45"/>
      <c r="Q909" s="78" t="s">
        <v>338</v>
      </c>
      <c r="R909" s="78">
        <f>Q910</f>
        <v>0</v>
      </c>
      <c r="S909" s="78"/>
    </row>
    <row r="910" spans="1:19" ht="66" customHeight="1">
      <c r="A910" s="49">
        <v>1</v>
      </c>
      <c r="B910" s="211" t="s">
        <v>339</v>
      </c>
      <c r="C910" s="211"/>
      <c r="D910" s="211"/>
      <c r="E910" s="201">
        <v>344</v>
      </c>
      <c r="F910" s="202"/>
      <c r="G910" s="201">
        <v>0</v>
      </c>
      <c r="H910" s="202"/>
      <c r="I910" s="52" t="e">
        <f>ROUND(J910/G910,2)</f>
        <v>#DIV/0!</v>
      </c>
      <c r="J910" s="52">
        <v>0</v>
      </c>
      <c r="K910" s="53"/>
      <c r="L910" s="53"/>
      <c r="M910" s="53"/>
      <c r="N910" s="53"/>
      <c r="O910" s="54"/>
      <c r="P910" s="44"/>
      <c r="Q910" s="78"/>
      <c r="R910" s="78">
        <f>J910-Q910</f>
        <v>0</v>
      </c>
      <c r="S910" s="78"/>
    </row>
    <row r="911" spans="1:19" ht="18.75">
      <c r="A911" s="49"/>
      <c r="B911" s="201" t="s">
        <v>130</v>
      </c>
      <c r="C911" s="226"/>
      <c r="D911" s="202"/>
      <c r="E911" s="203"/>
      <c r="F911" s="203"/>
      <c r="G911" s="203"/>
      <c r="H911" s="203"/>
      <c r="I911" s="49" t="s">
        <v>6</v>
      </c>
      <c r="J911" s="52">
        <f>SUM(J910:J910)</f>
        <v>0</v>
      </c>
      <c r="K911" s="53"/>
      <c r="L911" s="53"/>
      <c r="M911" s="53"/>
      <c r="N911" s="53"/>
      <c r="O911" s="54"/>
      <c r="P911" s="46"/>
      <c r="Q911" s="78"/>
      <c r="R911" s="78"/>
      <c r="S911" s="78"/>
    </row>
    <row r="912" spans="1:19" ht="18.75">
      <c r="A912" s="56"/>
      <c r="B912" s="56"/>
      <c r="C912" s="56"/>
      <c r="D912" s="56"/>
      <c r="E912" s="56"/>
      <c r="F912" s="63"/>
      <c r="G912" s="53"/>
      <c r="H912" s="53"/>
      <c r="I912" s="53"/>
      <c r="J912" s="53"/>
      <c r="K912" s="53"/>
      <c r="L912" s="53"/>
      <c r="M912" s="53"/>
      <c r="N912" s="53"/>
      <c r="O912" s="54"/>
      <c r="P912" s="44"/>
      <c r="Q912" s="78"/>
      <c r="R912" s="78"/>
      <c r="S912" s="78"/>
    </row>
    <row r="913" spans="1:19" ht="18.75">
      <c r="A913" s="53"/>
      <c r="B913" s="53" t="s">
        <v>264</v>
      </c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6"/>
      <c r="P913" s="82"/>
      <c r="Q913" s="83"/>
      <c r="R913" s="83"/>
      <c r="S913" s="78"/>
    </row>
    <row r="914" spans="1:19" ht="18.75">
      <c r="A914" s="53"/>
      <c r="B914" s="53" t="s">
        <v>152</v>
      </c>
      <c r="C914" s="53"/>
      <c r="D914" s="192">
        <v>100</v>
      </c>
      <c r="E914" s="56"/>
      <c r="F914" s="56"/>
      <c r="G914" s="56"/>
      <c r="H914" s="56"/>
      <c r="I914" s="56"/>
      <c r="J914" s="53"/>
      <c r="K914" s="53"/>
      <c r="L914" s="53"/>
      <c r="M914" s="53"/>
      <c r="N914" s="53"/>
      <c r="O914" s="56"/>
      <c r="P914" s="82"/>
      <c r="Q914" s="83"/>
      <c r="R914" s="83"/>
      <c r="S914" s="78"/>
    </row>
    <row r="915" spans="1:19" ht="18.75">
      <c r="A915" s="53"/>
      <c r="B915" s="53" t="s">
        <v>153</v>
      </c>
      <c r="C915" s="53"/>
      <c r="D915" s="53"/>
      <c r="E915" s="55" t="s">
        <v>347</v>
      </c>
      <c r="F915" s="56" t="s">
        <v>228</v>
      </c>
      <c r="G915" s="56"/>
      <c r="H915" s="56"/>
      <c r="I915" s="56"/>
      <c r="J915" s="56"/>
      <c r="K915" s="53"/>
      <c r="L915" s="53"/>
      <c r="M915" s="53"/>
      <c r="N915" s="53"/>
      <c r="O915" s="56"/>
      <c r="P915" s="82"/>
      <c r="Q915" s="83"/>
      <c r="R915" s="83"/>
      <c r="S915" s="78"/>
    </row>
    <row r="916" spans="1:19" ht="18.75">
      <c r="A916" s="53"/>
      <c r="B916" s="53"/>
      <c r="C916" s="53"/>
      <c r="D916" s="53"/>
      <c r="E916" s="55"/>
      <c r="F916" s="56"/>
      <c r="G916" s="56"/>
      <c r="H916" s="56"/>
      <c r="I916" s="56"/>
      <c r="J916" s="56"/>
      <c r="K916" s="53"/>
      <c r="L916" s="53"/>
      <c r="M916" s="53"/>
      <c r="N916" s="53"/>
      <c r="O916" s="56"/>
      <c r="P916" s="82"/>
      <c r="Q916" s="83"/>
      <c r="R916" s="83"/>
      <c r="S916" s="78"/>
    </row>
    <row r="917" spans="1:20" ht="18.75">
      <c r="A917" s="53"/>
      <c r="B917" s="53" t="s">
        <v>265</v>
      </c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4"/>
      <c r="P917" s="82"/>
      <c r="Q917" s="78" t="s">
        <v>322</v>
      </c>
      <c r="R917" s="78">
        <f>R920+R928+R955+R962+R969+R977+R990+R1004+R1016+R1027+R1038+R1045+R1059+R1075+R1106+R1095+R946+R1068</f>
        <v>5706994.599999999</v>
      </c>
      <c r="S917" s="78"/>
      <c r="T917" s="80"/>
    </row>
    <row r="918" spans="1:19" ht="18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4"/>
      <c r="P918" s="82"/>
      <c r="Q918" s="83"/>
      <c r="R918" s="83"/>
      <c r="S918" s="78"/>
    </row>
    <row r="919" spans="1:19" ht="56.25">
      <c r="A919" s="124" t="s">
        <v>155</v>
      </c>
      <c r="B919" s="260" t="s">
        <v>156</v>
      </c>
      <c r="C919" s="260"/>
      <c r="D919" s="260"/>
      <c r="E919" s="260"/>
      <c r="F919" s="260" t="s">
        <v>157</v>
      </c>
      <c r="G919" s="260"/>
      <c r="H919" s="188" t="s">
        <v>158</v>
      </c>
      <c r="I919" s="188" t="s">
        <v>159</v>
      </c>
      <c r="J919" s="232" t="s">
        <v>348</v>
      </c>
      <c r="K919" s="233"/>
      <c r="L919" s="117"/>
      <c r="M919" s="117"/>
      <c r="N919" s="117"/>
      <c r="O919" s="118"/>
      <c r="P919" s="110"/>
      <c r="Q919" s="111"/>
      <c r="R919" s="112"/>
      <c r="S919" s="78"/>
    </row>
    <row r="920" spans="1:19" ht="18.75">
      <c r="A920" s="187">
        <v>1</v>
      </c>
      <c r="B920" s="232">
        <v>2</v>
      </c>
      <c r="C920" s="237"/>
      <c r="D920" s="237"/>
      <c r="E920" s="233"/>
      <c r="F920" s="227">
        <v>3</v>
      </c>
      <c r="G920" s="228"/>
      <c r="H920" s="191">
        <v>4</v>
      </c>
      <c r="I920" s="119">
        <v>5</v>
      </c>
      <c r="J920" s="227">
        <v>6</v>
      </c>
      <c r="K920" s="228"/>
      <c r="L920" s="193"/>
      <c r="M920" s="193"/>
      <c r="N920" s="193"/>
      <c r="O920" s="62"/>
      <c r="P920" s="113"/>
      <c r="Q920" s="78" t="s">
        <v>308</v>
      </c>
      <c r="R920" s="78">
        <f>Q922+Q921</f>
        <v>1489122.36</v>
      </c>
      <c r="S920" s="78"/>
    </row>
    <row r="921" spans="1:19" ht="88.5" customHeight="1">
      <c r="A921" s="125">
        <v>1</v>
      </c>
      <c r="B921" s="198" t="s">
        <v>411</v>
      </c>
      <c r="C921" s="199"/>
      <c r="D921" s="199"/>
      <c r="E921" s="200"/>
      <c r="F921" s="203">
        <v>211</v>
      </c>
      <c r="G921" s="203"/>
      <c r="H921" s="173">
        <f>J921/I921</f>
        <v>0</v>
      </c>
      <c r="I921" s="120">
        <v>12</v>
      </c>
      <c r="J921" s="215">
        <f>555.56-555.56</f>
        <v>0</v>
      </c>
      <c r="K921" s="215"/>
      <c r="L921" s="53"/>
      <c r="M921" s="53"/>
      <c r="N921" s="53"/>
      <c r="O921" s="54"/>
      <c r="P921" s="82"/>
      <c r="Q921" s="115">
        <v>555.56</v>
      </c>
      <c r="R921" s="115">
        <v>0</v>
      </c>
      <c r="S921" s="78"/>
    </row>
    <row r="922" spans="1:19" ht="80.25" customHeight="1">
      <c r="A922" s="125">
        <v>2</v>
      </c>
      <c r="B922" s="198" t="s">
        <v>349</v>
      </c>
      <c r="C922" s="199"/>
      <c r="D922" s="199"/>
      <c r="E922" s="200"/>
      <c r="F922" s="203">
        <v>211</v>
      </c>
      <c r="G922" s="203"/>
      <c r="H922" s="173">
        <f>J922/I922</f>
        <v>205000</v>
      </c>
      <c r="I922" s="120">
        <v>12</v>
      </c>
      <c r="J922" s="215">
        <v>2460000</v>
      </c>
      <c r="K922" s="215"/>
      <c r="L922" s="53"/>
      <c r="M922" s="130"/>
      <c r="N922" s="53"/>
      <c r="O922" s="54"/>
      <c r="P922" s="82"/>
      <c r="Q922" s="115">
        <v>1488566.8</v>
      </c>
      <c r="R922" s="115">
        <f>J922-Q922</f>
        <v>971433.2</v>
      </c>
      <c r="S922" s="78"/>
    </row>
    <row r="923" spans="1:19" ht="18.75">
      <c r="A923" s="49"/>
      <c r="B923" s="201" t="s">
        <v>130</v>
      </c>
      <c r="C923" s="226"/>
      <c r="D923" s="226"/>
      <c r="E923" s="202"/>
      <c r="F923" s="203"/>
      <c r="G923" s="203"/>
      <c r="H923" s="121"/>
      <c r="I923" s="122"/>
      <c r="J923" s="215">
        <f>SUM(J921:K922)</f>
        <v>2460000</v>
      </c>
      <c r="K923" s="215"/>
      <c r="L923" s="53"/>
      <c r="M923" s="53"/>
      <c r="N923" s="53"/>
      <c r="O923" s="54"/>
      <c r="P923" s="114"/>
      <c r="Q923" s="115"/>
      <c r="R923" s="83"/>
      <c r="S923" s="78"/>
    </row>
    <row r="924" spans="1:19" ht="18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4"/>
      <c r="P924" s="82"/>
      <c r="Q924" s="83"/>
      <c r="R924" s="83"/>
      <c r="S924" s="78"/>
    </row>
    <row r="925" spans="1:19" ht="18.75">
      <c r="A925" s="53"/>
      <c r="B925" s="53" t="s">
        <v>266</v>
      </c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4"/>
      <c r="P925" s="82"/>
      <c r="Q925" s="83"/>
      <c r="R925" s="83"/>
      <c r="S925" s="78"/>
    </row>
    <row r="926" spans="1:19" ht="18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130"/>
      <c r="N926" s="53"/>
      <c r="O926" s="54"/>
      <c r="P926" s="82"/>
      <c r="Q926" s="83"/>
      <c r="R926" s="115">
        <f>Q922+Q929+Q930</f>
        <v>1938281.86</v>
      </c>
      <c r="S926" s="78"/>
    </row>
    <row r="927" spans="1:19" ht="93.75">
      <c r="A927" s="124" t="s">
        <v>155</v>
      </c>
      <c r="B927" s="234" t="s">
        <v>167</v>
      </c>
      <c r="C927" s="235"/>
      <c r="D927" s="235"/>
      <c r="E927" s="236"/>
      <c r="F927" s="232" t="s">
        <v>157</v>
      </c>
      <c r="G927" s="233"/>
      <c r="H927" s="188" t="s">
        <v>350</v>
      </c>
      <c r="I927" s="232" t="s">
        <v>351</v>
      </c>
      <c r="J927" s="233"/>
      <c r="K927" s="117"/>
      <c r="L927" s="117"/>
      <c r="M927" s="134"/>
      <c r="N927" s="117"/>
      <c r="O927" s="118"/>
      <c r="P927" s="110"/>
      <c r="Q927" s="116"/>
      <c r="R927" s="116"/>
      <c r="S927" s="78"/>
    </row>
    <row r="928" spans="1:19" ht="18.75">
      <c r="A928" s="187">
        <v>1</v>
      </c>
      <c r="B928" s="201">
        <v>2</v>
      </c>
      <c r="C928" s="226"/>
      <c r="D928" s="226"/>
      <c r="E928" s="202"/>
      <c r="F928" s="201">
        <v>3</v>
      </c>
      <c r="G928" s="202"/>
      <c r="H928" s="187">
        <v>4</v>
      </c>
      <c r="I928" s="201">
        <v>5</v>
      </c>
      <c r="J928" s="202"/>
      <c r="K928" s="53"/>
      <c r="L928" s="130"/>
      <c r="M928" s="53"/>
      <c r="N928" s="53"/>
      <c r="O928" s="54"/>
      <c r="P928" s="82"/>
      <c r="Q928" s="78" t="s">
        <v>309</v>
      </c>
      <c r="R928" s="78">
        <f>Q930+Q929</f>
        <v>449715.06</v>
      </c>
      <c r="S928" s="78"/>
    </row>
    <row r="929" spans="1:19" ht="99" customHeight="1">
      <c r="A929" s="49">
        <v>1</v>
      </c>
      <c r="B929" s="204" t="s">
        <v>412</v>
      </c>
      <c r="C929" s="205"/>
      <c r="D929" s="205"/>
      <c r="E929" s="206"/>
      <c r="F929" s="201">
        <v>213</v>
      </c>
      <c r="G929" s="202"/>
      <c r="H929" s="123">
        <v>30.2</v>
      </c>
      <c r="I929" s="209">
        <f>167.8-167.8</f>
        <v>0</v>
      </c>
      <c r="J929" s="210"/>
      <c r="K929" s="130"/>
      <c r="L929" s="130"/>
      <c r="M929" s="53"/>
      <c r="N929" s="53"/>
      <c r="O929" s="54"/>
      <c r="P929" s="82"/>
      <c r="Q929" s="115">
        <v>167.8</v>
      </c>
      <c r="R929" s="115">
        <v>0</v>
      </c>
      <c r="S929" s="78"/>
    </row>
    <row r="930" spans="1:19" ht="78.75" customHeight="1">
      <c r="A930" s="49">
        <v>1</v>
      </c>
      <c r="B930" s="204" t="s">
        <v>352</v>
      </c>
      <c r="C930" s="205"/>
      <c r="D930" s="205"/>
      <c r="E930" s="206"/>
      <c r="F930" s="201">
        <v>213</v>
      </c>
      <c r="G930" s="202"/>
      <c r="H930" s="123">
        <v>30.2</v>
      </c>
      <c r="I930" s="209">
        <v>742900</v>
      </c>
      <c r="J930" s="210"/>
      <c r="K930" s="53"/>
      <c r="L930" s="130"/>
      <c r="M930" s="53"/>
      <c r="N930" s="53"/>
      <c r="O930" s="54"/>
      <c r="P930" s="82"/>
      <c r="Q930" s="115">
        <v>449547.26</v>
      </c>
      <c r="R930" s="115">
        <f>I930-Q930</f>
        <v>293352.74</v>
      </c>
      <c r="S930" s="78"/>
    </row>
    <row r="931" spans="1:19" ht="18.75">
      <c r="A931" s="49"/>
      <c r="B931" s="201" t="s">
        <v>130</v>
      </c>
      <c r="C931" s="226"/>
      <c r="D931" s="226"/>
      <c r="E931" s="202"/>
      <c r="F931" s="201"/>
      <c r="G931" s="202"/>
      <c r="H931" s="49" t="s">
        <v>172</v>
      </c>
      <c r="I931" s="209">
        <f>SUM(I929:J930)</f>
        <v>742900</v>
      </c>
      <c r="J931" s="210"/>
      <c r="K931" s="53"/>
      <c r="L931" s="53"/>
      <c r="M931" s="53"/>
      <c r="N931" s="53"/>
      <c r="O931" s="54"/>
      <c r="P931" s="114"/>
      <c r="Q931" s="83"/>
      <c r="R931" s="83"/>
      <c r="S931" s="78"/>
    </row>
    <row r="932" spans="1:19" ht="18.75">
      <c r="A932" s="56"/>
      <c r="B932" s="56"/>
      <c r="C932" s="56"/>
      <c r="D932" s="56"/>
      <c r="E932" s="56"/>
      <c r="F932" s="63"/>
      <c r="G932" s="53"/>
      <c r="H932" s="53"/>
      <c r="I932" s="53"/>
      <c r="J932" s="53"/>
      <c r="K932" s="53"/>
      <c r="L932" s="53"/>
      <c r="M932" s="53"/>
      <c r="N932" s="53"/>
      <c r="O932" s="54"/>
      <c r="P932" s="44"/>
      <c r="Q932" s="78"/>
      <c r="R932" s="78"/>
      <c r="S932" s="78"/>
    </row>
    <row r="933" spans="1:19" ht="18.75" hidden="1">
      <c r="A933" s="53"/>
      <c r="B933" s="53" t="s">
        <v>550</v>
      </c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4"/>
      <c r="P933" s="82"/>
      <c r="Q933" s="83"/>
      <c r="R933" s="78"/>
      <c r="S933" s="78"/>
    </row>
    <row r="934" spans="1:19" ht="18.75" hidden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4"/>
      <c r="P934" s="78"/>
      <c r="Q934" s="78"/>
      <c r="R934" s="78"/>
      <c r="S934" s="78"/>
    </row>
    <row r="935" spans="1:19" ht="56.25" hidden="1">
      <c r="A935" s="124" t="s">
        <v>155</v>
      </c>
      <c r="B935" s="260" t="s">
        <v>156</v>
      </c>
      <c r="C935" s="260"/>
      <c r="D935" s="260"/>
      <c r="E935" s="260"/>
      <c r="F935" s="260" t="s">
        <v>157</v>
      </c>
      <c r="G935" s="260"/>
      <c r="H935" s="188" t="s">
        <v>158</v>
      </c>
      <c r="I935" s="188" t="s">
        <v>159</v>
      </c>
      <c r="J935" s="232" t="s">
        <v>348</v>
      </c>
      <c r="K935" s="233"/>
      <c r="L935" s="117"/>
      <c r="M935" s="117"/>
      <c r="N935" s="117"/>
      <c r="O935" s="118"/>
      <c r="P935" s="110"/>
      <c r="Q935" s="111"/>
      <c r="R935" s="78"/>
      <c r="S935" s="78"/>
    </row>
    <row r="936" spans="1:19" ht="18.75" hidden="1">
      <c r="A936" s="187">
        <v>1</v>
      </c>
      <c r="B936" s="232">
        <v>2</v>
      </c>
      <c r="C936" s="237"/>
      <c r="D936" s="237"/>
      <c r="E936" s="233"/>
      <c r="F936" s="227">
        <v>3</v>
      </c>
      <c r="G936" s="228"/>
      <c r="H936" s="191">
        <v>4</v>
      </c>
      <c r="I936" s="119">
        <v>5</v>
      </c>
      <c r="J936" s="227">
        <v>6</v>
      </c>
      <c r="K936" s="228"/>
      <c r="L936" s="193"/>
      <c r="M936" s="193"/>
      <c r="N936" s="193"/>
      <c r="O936" s="62"/>
      <c r="P936" s="78" t="s">
        <v>311</v>
      </c>
      <c r="Q936" s="78">
        <f>P937</f>
        <v>0</v>
      </c>
      <c r="R936" s="78"/>
      <c r="S936" s="78"/>
    </row>
    <row r="937" spans="1:19" ht="47.25" customHeight="1" hidden="1">
      <c r="A937" s="125">
        <v>1</v>
      </c>
      <c r="B937" s="198" t="s">
        <v>549</v>
      </c>
      <c r="C937" s="199"/>
      <c r="D937" s="199"/>
      <c r="E937" s="200"/>
      <c r="F937" s="203">
        <v>226</v>
      </c>
      <c r="G937" s="203"/>
      <c r="H937" s="173">
        <f>J937/I937</f>
        <v>147594.72</v>
      </c>
      <c r="I937" s="120">
        <v>1</v>
      </c>
      <c r="J937" s="215">
        <f>55120+53560+31467.28+7447.44</f>
        <v>147594.72</v>
      </c>
      <c r="K937" s="215"/>
      <c r="L937" s="53"/>
      <c r="M937" s="53"/>
      <c r="N937" s="53"/>
      <c r="O937" s="54"/>
      <c r="P937" s="172"/>
      <c r="Q937" s="115">
        <v>140147.28</v>
      </c>
      <c r="R937" s="78">
        <f>J937-Q937</f>
        <v>7447.440000000002</v>
      </c>
      <c r="S937" s="78"/>
    </row>
    <row r="938" spans="1:19" ht="18.75" hidden="1">
      <c r="A938" s="49"/>
      <c r="B938" s="201" t="s">
        <v>130</v>
      </c>
      <c r="C938" s="226"/>
      <c r="D938" s="226"/>
      <c r="E938" s="202"/>
      <c r="F938" s="203"/>
      <c r="G938" s="203"/>
      <c r="H938" s="121"/>
      <c r="I938" s="122"/>
      <c r="J938" s="215">
        <f>J937</f>
        <v>147594.72</v>
      </c>
      <c r="K938" s="215"/>
      <c r="L938" s="53"/>
      <c r="M938" s="53"/>
      <c r="N938" s="53"/>
      <c r="O938" s="54"/>
      <c r="P938" s="114"/>
      <c r="Q938" s="115"/>
      <c r="R938" s="78"/>
      <c r="S938" s="78"/>
    </row>
    <row r="939" spans="1:19" ht="18.75">
      <c r="A939" s="56"/>
      <c r="B939" s="56"/>
      <c r="C939" s="56"/>
      <c r="D939" s="56"/>
      <c r="E939" s="56"/>
      <c r="F939" s="63"/>
      <c r="G939" s="53"/>
      <c r="H939" s="53"/>
      <c r="I939" s="53"/>
      <c r="J939" s="53"/>
      <c r="K939" s="53"/>
      <c r="L939" s="53"/>
      <c r="M939" s="53"/>
      <c r="N939" s="53"/>
      <c r="O939" s="54"/>
      <c r="P939" s="44"/>
      <c r="Q939" s="78"/>
      <c r="R939" s="78"/>
      <c r="S939" s="78"/>
    </row>
    <row r="940" spans="1:19" ht="18.75">
      <c r="A940" s="53"/>
      <c r="B940" s="53" t="s">
        <v>422</v>
      </c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6"/>
      <c r="P940" s="44"/>
      <c r="Q940" s="78"/>
      <c r="R940" s="78"/>
      <c r="S940" s="78"/>
    </row>
    <row r="941" spans="1:19" ht="18.75">
      <c r="A941" s="53"/>
      <c r="B941" s="53" t="s">
        <v>152</v>
      </c>
      <c r="C941" s="53"/>
      <c r="D941" s="140">
        <v>244</v>
      </c>
      <c r="E941" s="140"/>
      <c r="F941" s="140"/>
      <c r="G941" s="140"/>
      <c r="H941" s="56"/>
      <c r="I941" s="53"/>
      <c r="J941" s="53"/>
      <c r="K941" s="53"/>
      <c r="L941" s="53"/>
      <c r="M941" s="53"/>
      <c r="N941" s="53"/>
      <c r="O941" s="56"/>
      <c r="P941" s="44"/>
      <c r="Q941" s="78"/>
      <c r="R941" s="78"/>
      <c r="S941" s="78"/>
    </row>
    <row r="942" spans="1:19" ht="18.75">
      <c r="A942" s="53"/>
      <c r="B942" s="53" t="s">
        <v>153</v>
      </c>
      <c r="C942" s="53"/>
      <c r="D942" s="53"/>
      <c r="E942" s="53"/>
      <c r="F942" s="142" t="s">
        <v>228</v>
      </c>
      <c r="G942" s="142"/>
      <c r="H942" s="142"/>
      <c r="I942" s="142"/>
      <c r="J942" s="56"/>
      <c r="K942" s="53"/>
      <c r="L942" s="53"/>
      <c r="M942" s="53"/>
      <c r="N942" s="53"/>
      <c r="O942" s="56"/>
      <c r="P942" s="44"/>
      <c r="Q942" s="78"/>
      <c r="R942" s="78"/>
      <c r="S942" s="78"/>
    </row>
    <row r="943" spans="1:19" ht="18.75">
      <c r="A943" s="53"/>
      <c r="B943" s="53"/>
      <c r="C943" s="53"/>
      <c r="D943" s="53"/>
      <c r="E943" s="53"/>
      <c r="F943" s="56"/>
      <c r="G943" s="56"/>
      <c r="H943" s="56"/>
      <c r="I943" s="56"/>
      <c r="J943" s="56"/>
      <c r="K943" s="53"/>
      <c r="L943" s="53"/>
      <c r="M943" s="53"/>
      <c r="N943" s="53"/>
      <c r="O943" s="56"/>
      <c r="P943" s="44"/>
      <c r="Q943" s="78"/>
      <c r="R943" s="78"/>
      <c r="S943" s="78"/>
    </row>
    <row r="944" spans="1:21" ht="18.75">
      <c r="A944" s="53"/>
      <c r="B944" s="53" t="s">
        <v>536</v>
      </c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4"/>
      <c r="P944" s="83"/>
      <c r="Q944" s="83"/>
      <c r="R944" s="84"/>
      <c r="S944" s="78"/>
      <c r="T944" s="78"/>
      <c r="U944" s="78"/>
    </row>
    <row r="945" spans="1:21" ht="18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4"/>
      <c r="P945" s="83"/>
      <c r="Q945" s="83"/>
      <c r="R945" s="84"/>
      <c r="S945" s="78"/>
      <c r="T945" s="78"/>
      <c r="U945" s="78"/>
    </row>
    <row r="946" spans="1:21" ht="18.75">
      <c r="A946" s="124" t="s">
        <v>155</v>
      </c>
      <c r="B946" s="232" t="s">
        <v>0</v>
      </c>
      <c r="C946" s="237"/>
      <c r="D946" s="237"/>
      <c r="E946" s="237"/>
      <c r="F946" s="233"/>
      <c r="G946" s="260" t="s">
        <v>157</v>
      </c>
      <c r="H946" s="260"/>
      <c r="I946" s="260" t="s">
        <v>535</v>
      </c>
      <c r="J946" s="260"/>
      <c r="K946" s="117"/>
      <c r="L946" s="117"/>
      <c r="M946" s="117"/>
      <c r="N946" s="118"/>
      <c r="O946" s="166"/>
      <c r="P946" s="78" t="s">
        <v>315</v>
      </c>
      <c r="Q946" s="78" t="s">
        <v>315</v>
      </c>
      <c r="R946" s="78">
        <f>Q947</f>
        <v>206926.01</v>
      </c>
      <c r="S946" s="78"/>
      <c r="T946" s="78"/>
      <c r="U946" s="78"/>
    </row>
    <row r="947" spans="1:21" ht="18.75">
      <c r="A947" s="187">
        <v>1</v>
      </c>
      <c r="B947" s="201">
        <v>2</v>
      </c>
      <c r="C947" s="226"/>
      <c r="D947" s="226"/>
      <c r="E947" s="226"/>
      <c r="F947" s="202"/>
      <c r="G947" s="203">
        <v>3</v>
      </c>
      <c r="H947" s="203"/>
      <c r="I947" s="203">
        <v>4</v>
      </c>
      <c r="J947" s="203"/>
      <c r="K947" s="193"/>
      <c r="L947" s="193"/>
      <c r="M947" s="193"/>
      <c r="N947" s="62"/>
      <c r="O947" s="45"/>
      <c r="P947" s="83"/>
      <c r="Q947" s="78">
        <f>191025+15901.01</f>
        <v>206926.01</v>
      </c>
      <c r="R947" s="78">
        <f>I948-Q947</f>
        <v>0</v>
      </c>
      <c r="S947" s="78"/>
      <c r="T947" s="78"/>
      <c r="U947" s="78"/>
    </row>
    <row r="948" spans="1:21" ht="107.25" customHeight="1">
      <c r="A948" s="49">
        <v>1</v>
      </c>
      <c r="B948" s="198" t="s">
        <v>538</v>
      </c>
      <c r="C948" s="199"/>
      <c r="D948" s="199"/>
      <c r="E948" s="199"/>
      <c r="F948" s="200"/>
      <c r="G948" s="203">
        <v>225</v>
      </c>
      <c r="H948" s="203"/>
      <c r="I948" s="215">
        <f>300000-93073.99</f>
        <v>206926.01</v>
      </c>
      <c r="J948" s="215"/>
      <c r="K948" s="53"/>
      <c r="L948" s="53"/>
      <c r="M948" s="53"/>
      <c r="N948" s="54"/>
      <c r="O948" s="44"/>
      <c r="P948" s="115">
        <v>250000</v>
      </c>
      <c r="Q948" s="115"/>
      <c r="R948" s="84"/>
      <c r="S948" s="78"/>
      <c r="T948" s="78"/>
      <c r="U948" s="78"/>
    </row>
    <row r="949" spans="1:21" ht="107.25" customHeight="1">
      <c r="A949" s="49">
        <v>2</v>
      </c>
      <c r="B949" s="198" t="s">
        <v>578</v>
      </c>
      <c r="C949" s="199"/>
      <c r="D949" s="199"/>
      <c r="E949" s="199"/>
      <c r="F949" s="200"/>
      <c r="G949" s="203">
        <v>346</v>
      </c>
      <c r="H949" s="203"/>
      <c r="I949" s="215">
        <v>93073.99</v>
      </c>
      <c r="J949" s="215"/>
      <c r="K949" s="53"/>
      <c r="L949" s="53"/>
      <c r="M949" s="53"/>
      <c r="N949" s="54"/>
      <c r="O949" s="44"/>
      <c r="P949" s="115">
        <v>250000</v>
      </c>
      <c r="Q949" s="115"/>
      <c r="R949" s="84"/>
      <c r="S949" s="78"/>
      <c r="T949" s="78"/>
      <c r="U949" s="78"/>
    </row>
    <row r="950" spans="1:21" ht="18.75">
      <c r="A950" s="49"/>
      <c r="B950" s="253" t="s">
        <v>130</v>
      </c>
      <c r="C950" s="254"/>
      <c r="D950" s="254"/>
      <c r="E950" s="254"/>
      <c r="F950" s="255"/>
      <c r="G950" s="203"/>
      <c r="H950" s="203"/>
      <c r="I950" s="215">
        <f>SUM(I948:J949)</f>
        <v>300000</v>
      </c>
      <c r="J950" s="215"/>
      <c r="K950" s="53"/>
      <c r="L950" s="53"/>
      <c r="M950" s="53"/>
      <c r="N950" s="54"/>
      <c r="O950" s="47"/>
      <c r="P950" s="83"/>
      <c r="Q950" s="83"/>
      <c r="R950" s="84"/>
      <c r="S950" s="78"/>
      <c r="T950" s="78"/>
      <c r="U950" s="78"/>
    </row>
    <row r="951" spans="1:19" ht="18.75">
      <c r="A951" s="53"/>
      <c r="B951" s="53"/>
      <c r="C951" s="53"/>
      <c r="D951" s="53"/>
      <c r="E951" s="53"/>
      <c r="F951" s="56"/>
      <c r="G951" s="56"/>
      <c r="H951" s="56"/>
      <c r="I951" s="56"/>
      <c r="J951" s="56"/>
      <c r="K951" s="53"/>
      <c r="L951" s="53"/>
      <c r="M951" s="53"/>
      <c r="N951" s="53"/>
      <c r="O951" s="56"/>
      <c r="P951" s="44"/>
      <c r="Q951" s="78"/>
      <c r="R951" s="78"/>
      <c r="S951" s="78"/>
    </row>
    <row r="952" spans="1:19" ht="18.75">
      <c r="A952" s="53"/>
      <c r="B952" s="95" t="s">
        <v>423</v>
      </c>
      <c r="C952" s="95"/>
      <c r="D952" s="95"/>
      <c r="E952" s="95"/>
      <c r="F952" s="95"/>
      <c r="G952" s="95"/>
      <c r="H952" s="95"/>
      <c r="I952" s="95"/>
      <c r="J952" s="56"/>
      <c r="K952" s="53"/>
      <c r="L952" s="53"/>
      <c r="M952" s="53"/>
      <c r="N952" s="53"/>
      <c r="O952" s="56"/>
      <c r="P952" s="44"/>
      <c r="Q952" s="78"/>
      <c r="R952" s="78"/>
      <c r="S952" s="78"/>
    </row>
    <row r="953" spans="1:19" ht="18.75">
      <c r="A953" s="53"/>
      <c r="B953" s="53"/>
      <c r="C953" s="53"/>
      <c r="D953" s="53"/>
      <c r="E953" s="53"/>
      <c r="F953" s="56"/>
      <c r="G953" s="56"/>
      <c r="H953" s="56"/>
      <c r="I953" s="56"/>
      <c r="J953" s="56"/>
      <c r="K953" s="53"/>
      <c r="L953" s="53"/>
      <c r="M953" s="53"/>
      <c r="N953" s="53"/>
      <c r="O953" s="56"/>
      <c r="P953" s="44"/>
      <c r="Q953" s="78"/>
      <c r="R953" s="78"/>
      <c r="S953" s="78"/>
    </row>
    <row r="954" spans="1:19" ht="93.75" customHeight="1">
      <c r="A954" s="107" t="s">
        <v>155</v>
      </c>
      <c r="B954" s="216" t="s">
        <v>156</v>
      </c>
      <c r="C954" s="217"/>
      <c r="D954" s="218"/>
      <c r="E954" s="100" t="s">
        <v>168</v>
      </c>
      <c r="F954" s="216" t="s">
        <v>249</v>
      </c>
      <c r="G954" s="218"/>
      <c r="H954" s="216" t="s">
        <v>250</v>
      </c>
      <c r="I954" s="218"/>
      <c r="J954" s="100" t="s">
        <v>251</v>
      </c>
      <c r="K954" s="100" t="s">
        <v>177</v>
      </c>
      <c r="L954" s="53"/>
      <c r="M954" s="53"/>
      <c r="N954" s="53"/>
      <c r="O954" s="56"/>
      <c r="P954" s="44"/>
      <c r="Q954" s="78"/>
      <c r="R954" s="78"/>
      <c r="S954" s="78"/>
    </row>
    <row r="955" spans="1:19" ht="18.75">
      <c r="A955" s="103">
        <v>1</v>
      </c>
      <c r="B955" s="207">
        <v>2</v>
      </c>
      <c r="C955" s="219"/>
      <c r="D955" s="208"/>
      <c r="E955" s="103">
        <v>3</v>
      </c>
      <c r="F955" s="207">
        <v>4</v>
      </c>
      <c r="G955" s="208"/>
      <c r="H955" s="207">
        <v>5</v>
      </c>
      <c r="I955" s="208"/>
      <c r="J955" s="103">
        <v>6</v>
      </c>
      <c r="K955" s="103">
        <v>7</v>
      </c>
      <c r="L955" s="53"/>
      <c r="M955" s="53"/>
      <c r="N955" s="53"/>
      <c r="O955" s="56"/>
      <c r="P955" s="44"/>
      <c r="Q955" s="78" t="s">
        <v>311</v>
      </c>
      <c r="R955" s="78">
        <f>Q956</f>
        <v>19260</v>
      </c>
      <c r="S955" s="78"/>
    </row>
    <row r="956" spans="1:19" ht="77.25" customHeight="1">
      <c r="A956" s="107">
        <v>1</v>
      </c>
      <c r="B956" s="204" t="s">
        <v>248</v>
      </c>
      <c r="C956" s="205"/>
      <c r="D956" s="206"/>
      <c r="E956" s="107">
        <v>226</v>
      </c>
      <c r="F956" s="207">
        <v>94</v>
      </c>
      <c r="G956" s="208"/>
      <c r="H956" s="207">
        <v>10</v>
      </c>
      <c r="I956" s="208"/>
      <c r="J956" s="109">
        <v>164</v>
      </c>
      <c r="K956" s="109">
        <f>50000-8000</f>
        <v>42000</v>
      </c>
      <c r="L956" s="53"/>
      <c r="M956" s="53"/>
      <c r="N956" s="53"/>
      <c r="O956" s="56"/>
      <c r="P956" s="44"/>
      <c r="Q956" s="78">
        <v>19260</v>
      </c>
      <c r="R956" s="78">
        <f>K956-Q956</f>
        <v>22740</v>
      </c>
      <c r="S956" s="78"/>
    </row>
    <row r="957" spans="1:19" ht="18.75">
      <c r="A957" s="107"/>
      <c r="B957" s="207" t="s">
        <v>130</v>
      </c>
      <c r="C957" s="219"/>
      <c r="D957" s="208"/>
      <c r="E957" s="107"/>
      <c r="F957" s="207" t="s">
        <v>172</v>
      </c>
      <c r="G957" s="208"/>
      <c r="H957" s="207" t="s">
        <v>172</v>
      </c>
      <c r="I957" s="208"/>
      <c r="J957" s="107" t="s">
        <v>172</v>
      </c>
      <c r="K957" s="131">
        <f>SUM(K956:K956)</f>
        <v>42000</v>
      </c>
      <c r="L957" s="53"/>
      <c r="M957" s="53"/>
      <c r="N957" s="53"/>
      <c r="O957" s="56"/>
      <c r="P957" s="44"/>
      <c r="Q957" s="78"/>
      <c r="R957" s="78"/>
      <c r="S957" s="78"/>
    </row>
    <row r="958" spans="1:19" ht="18" customHeight="1">
      <c r="A958" s="94"/>
      <c r="B958" s="137"/>
      <c r="C958" s="137"/>
      <c r="D958" s="137"/>
      <c r="E958" s="94"/>
      <c r="F958" s="138"/>
      <c r="G958" s="138"/>
      <c r="H958" s="138"/>
      <c r="I958" s="138"/>
      <c r="J958" s="94"/>
      <c r="K958" s="139"/>
      <c r="L958" s="53"/>
      <c r="M958" s="53"/>
      <c r="N958" s="53"/>
      <c r="O958" s="56"/>
      <c r="P958" s="44"/>
      <c r="Q958" s="78"/>
      <c r="R958" s="78"/>
      <c r="S958" s="78"/>
    </row>
    <row r="959" spans="1:19" ht="18" customHeight="1">
      <c r="A959" s="53"/>
      <c r="B959" s="95" t="s">
        <v>424</v>
      </c>
      <c r="C959" s="95"/>
      <c r="D959" s="95"/>
      <c r="E959" s="95"/>
      <c r="F959" s="95"/>
      <c r="G959" s="95"/>
      <c r="H959" s="95"/>
      <c r="I959" s="95"/>
      <c r="J959" s="56"/>
      <c r="K959" s="53"/>
      <c r="L959" s="53"/>
      <c r="M959" s="53"/>
      <c r="N959" s="53"/>
      <c r="O959" s="56"/>
      <c r="P959" s="44"/>
      <c r="Q959" s="78"/>
      <c r="R959" s="78"/>
      <c r="S959" s="78"/>
    </row>
    <row r="960" spans="1:19" ht="18" customHeight="1">
      <c r="A960" s="53"/>
      <c r="B960" s="53"/>
      <c r="C960" s="53"/>
      <c r="D960" s="53"/>
      <c r="E960" s="53"/>
      <c r="F960" s="56"/>
      <c r="G960" s="56"/>
      <c r="H960" s="56"/>
      <c r="I960" s="56"/>
      <c r="J960" s="56"/>
      <c r="K960" s="53"/>
      <c r="L960" s="53"/>
      <c r="M960" s="53"/>
      <c r="N960" s="53"/>
      <c r="O960" s="56"/>
      <c r="P960" s="44"/>
      <c r="Q960" s="78"/>
      <c r="R960" s="78"/>
      <c r="S960" s="78"/>
    </row>
    <row r="961" spans="1:16" ht="102.75" customHeight="1">
      <c r="A961" s="107" t="s">
        <v>155</v>
      </c>
      <c r="B961" s="216" t="s">
        <v>156</v>
      </c>
      <c r="C961" s="217"/>
      <c r="D961" s="218"/>
      <c r="E961" s="100" t="s">
        <v>168</v>
      </c>
      <c r="F961" s="216" t="s">
        <v>369</v>
      </c>
      <c r="G961" s="218"/>
      <c r="H961" s="100" t="s">
        <v>177</v>
      </c>
      <c r="I961" s="53"/>
      <c r="J961" s="53"/>
      <c r="K961" s="53"/>
      <c r="L961" s="56"/>
      <c r="M961" s="44"/>
      <c r="N961" s="143"/>
      <c r="O961" s="143"/>
      <c r="P961" s="78"/>
    </row>
    <row r="962" spans="1:18" ht="18" customHeight="1">
      <c r="A962" s="103">
        <v>1</v>
      </c>
      <c r="B962" s="207">
        <v>2</v>
      </c>
      <c r="C962" s="219"/>
      <c r="D962" s="208"/>
      <c r="E962" s="103">
        <v>3</v>
      </c>
      <c r="F962" s="207">
        <v>4</v>
      </c>
      <c r="G962" s="208"/>
      <c r="H962" s="103">
        <v>5</v>
      </c>
      <c r="I962" s="53"/>
      <c r="J962" s="53"/>
      <c r="K962" s="53"/>
      <c r="L962" s="56"/>
      <c r="M962" s="44"/>
      <c r="N962" s="143"/>
      <c r="O962" s="143"/>
      <c r="P962" s="78"/>
      <c r="Q962" s="78" t="s">
        <v>311</v>
      </c>
      <c r="R962" s="78">
        <f>Q963</f>
        <v>54621.28</v>
      </c>
    </row>
    <row r="963" spans="1:18" ht="86.25" customHeight="1">
      <c r="A963" s="107">
        <v>1</v>
      </c>
      <c r="B963" s="204" t="s">
        <v>324</v>
      </c>
      <c r="C963" s="205"/>
      <c r="D963" s="206"/>
      <c r="E963" s="107">
        <v>226</v>
      </c>
      <c r="F963" s="207">
        <v>1</v>
      </c>
      <c r="G963" s="208"/>
      <c r="H963" s="109">
        <v>254953.46</v>
      </c>
      <c r="I963" s="53"/>
      <c r="J963" s="53"/>
      <c r="K963" s="53"/>
      <c r="L963" s="56"/>
      <c r="M963" s="44"/>
      <c r="N963" s="143"/>
      <c r="O963" s="143"/>
      <c r="P963" s="78"/>
      <c r="Q963" s="78">
        <v>54621.28</v>
      </c>
      <c r="R963" s="78">
        <f>H963-Q963</f>
        <v>200332.18</v>
      </c>
    </row>
    <row r="964" spans="1:16" ht="18" customHeight="1">
      <c r="A964" s="107"/>
      <c r="B964" s="207" t="s">
        <v>130</v>
      </c>
      <c r="C964" s="219"/>
      <c r="D964" s="208"/>
      <c r="E964" s="107"/>
      <c r="F964" s="207" t="s">
        <v>172</v>
      </c>
      <c r="G964" s="208"/>
      <c r="H964" s="131">
        <f>SUM(H963:H963)</f>
        <v>254953.46</v>
      </c>
      <c r="I964" s="53"/>
      <c r="J964" s="53"/>
      <c r="K964" s="53"/>
      <c r="L964" s="56"/>
      <c r="M964" s="44"/>
      <c r="N964" s="143"/>
      <c r="O964" s="143"/>
      <c r="P964" s="78"/>
    </row>
    <row r="965" spans="1:19" ht="18" customHeight="1">
      <c r="A965" s="94"/>
      <c r="B965" s="137"/>
      <c r="C965" s="137"/>
      <c r="D965" s="137"/>
      <c r="E965" s="94"/>
      <c r="F965" s="138"/>
      <c r="G965" s="138"/>
      <c r="H965" s="138"/>
      <c r="I965" s="138"/>
      <c r="J965" s="94"/>
      <c r="K965" s="139"/>
      <c r="L965" s="53"/>
      <c r="M965" s="53"/>
      <c r="N965" s="53"/>
      <c r="O965" s="56"/>
      <c r="P965" s="44"/>
      <c r="Q965" s="78"/>
      <c r="R965" s="78"/>
      <c r="S965" s="78"/>
    </row>
    <row r="966" spans="1:19" ht="18" customHeight="1">
      <c r="A966" s="53"/>
      <c r="B966" s="95" t="s">
        <v>425</v>
      </c>
      <c r="C966" s="95"/>
      <c r="D966" s="95"/>
      <c r="E966" s="95"/>
      <c r="F966" s="95"/>
      <c r="G966" s="95"/>
      <c r="H966" s="95"/>
      <c r="I966" s="95"/>
      <c r="J966" s="56"/>
      <c r="K966" s="53"/>
      <c r="L966" s="53"/>
      <c r="M966" s="53"/>
      <c r="N966" s="53"/>
      <c r="O966" s="54"/>
      <c r="P966" s="44"/>
      <c r="Q966" s="78"/>
      <c r="R966" s="78"/>
      <c r="S966" s="78"/>
    </row>
    <row r="967" spans="1:19" ht="18" customHeight="1">
      <c r="A967" s="53"/>
      <c r="B967" s="53"/>
      <c r="C967" s="53"/>
      <c r="D967" s="53"/>
      <c r="E967" s="53"/>
      <c r="F967" s="56"/>
      <c r="G967" s="56"/>
      <c r="H967" s="56"/>
      <c r="I967" s="56"/>
      <c r="J967" s="56"/>
      <c r="K967" s="53"/>
      <c r="L967" s="53"/>
      <c r="M967" s="53"/>
      <c r="N967" s="53"/>
      <c r="O967" s="54"/>
      <c r="P967" s="44"/>
      <c r="Q967" s="78"/>
      <c r="R967" s="78"/>
      <c r="S967" s="78"/>
    </row>
    <row r="968" spans="1:16" ht="95.25" customHeight="1">
      <c r="A968" s="107" t="s">
        <v>155</v>
      </c>
      <c r="B968" s="216" t="s">
        <v>156</v>
      </c>
      <c r="C968" s="217"/>
      <c r="D968" s="218"/>
      <c r="E968" s="100" t="s">
        <v>168</v>
      </c>
      <c r="F968" s="216" t="s">
        <v>369</v>
      </c>
      <c r="G968" s="218"/>
      <c r="H968" s="100" t="s">
        <v>177</v>
      </c>
      <c r="I968" s="53"/>
      <c r="J968" s="53"/>
      <c r="K968" s="53"/>
      <c r="L968" s="54"/>
      <c r="M968" s="44"/>
      <c r="N968" s="143"/>
      <c r="O968" s="143"/>
      <c r="P968" s="78"/>
    </row>
    <row r="969" spans="1:18" ht="24" customHeight="1">
      <c r="A969" s="103">
        <v>1</v>
      </c>
      <c r="B969" s="207">
        <v>2</v>
      </c>
      <c r="C969" s="219"/>
      <c r="D969" s="208"/>
      <c r="E969" s="103">
        <v>3</v>
      </c>
      <c r="F969" s="207">
        <v>4</v>
      </c>
      <c r="G969" s="208"/>
      <c r="H969" s="103">
        <v>5</v>
      </c>
      <c r="I969" s="53"/>
      <c r="J969" s="53"/>
      <c r="K969" s="53"/>
      <c r="L969" s="54"/>
      <c r="M969" s="44"/>
      <c r="N969" s="143"/>
      <c r="O969" s="143"/>
      <c r="P969" s="78">
        <f>O971</f>
        <v>0</v>
      </c>
      <c r="Q969" s="78" t="s">
        <v>311</v>
      </c>
      <c r="R969" s="78">
        <f>Q971+Q970</f>
        <v>2221681.39</v>
      </c>
    </row>
    <row r="970" spans="1:19" ht="100.5" customHeight="1">
      <c r="A970" s="107">
        <v>1</v>
      </c>
      <c r="B970" s="204" t="s">
        <v>406</v>
      </c>
      <c r="C970" s="205"/>
      <c r="D970" s="206"/>
      <c r="E970" s="107">
        <v>226</v>
      </c>
      <c r="F970" s="207">
        <v>1</v>
      </c>
      <c r="G970" s="208"/>
      <c r="H970" s="109">
        <f>460374.86-460374.86</f>
        <v>0</v>
      </c>
      <c r="I970" s="53"/>
      <c r="J970" s="53"/>
      <c r="K970" s="53"/>
      <c r="L970" s="54"/>
      <c r="M970" s="44"/>
      <c r="N970" s="143"/>
      <c r="O970" s="143"/>
      <c r="P970" s="78">
        <f>H970-O970</f>
        <v>0</v>
      </c>
      <c r="Q970" s="78"/>
      <c r="R970" s="78">
        <f>H970-Q970</f>
        <v>0</v>
      </c>
      <c r="S970" s="6"/>
    </row>
    <row r="971" spans="1:19" ht="83.25" customHeight="1">
      <c r="A971" s="107">
        <v>2</v>
      </c>
      <c r="B971" s="204" t="s">
        <v>346</v>
      </c>
      <c r="C971" s="205"/>
      <c r="D971" s="206"/>
      <c r="E971" s="107">
        <v>226</v>
      </c>
      <c r="F971" s="207">
        <v>1</v>
      </c>
      <c r="G971" s="208"/>
      <c r="H971" s="109">
        <v>5002800</v>
      </c>
      <c r="I971" s="53"/>
      <c r="J971" s="53"/>
      <c r="K971" s="53"/>
      <c r="L971" s="54"/>
      <c r="M971" s="44"/>
      <c r="N971" s="143"/>
      <c r="O971" s="143"/>
      <c r="P971" s="78">
        <f>H971-O971</f>
        <v>5002800</v>
      </c>
      <c r="Q971" s="78">
        <v>2221681.39</v>
      </c>
      <c r="R971" s="78">
        <f>H971-Q971</f>
        <v>2781118.61</v>
      </c>
      <c r="S971" s="6"/>
    </row>
    <row r="972" spans="1:16" ht="18" customHeight="1">
      <c r="A972" s="107"/>
      <c r="B972" s="207" t="s">
        <v>130</v>
      </c>
      <c r="C972" s="219"/>
      <c r="D972" s="208"/>
      <c r="E972" s="107"/>
      <c r="F972" s="207" t="s">
        <v>172</v>
      </c>
      <c r="G972" s="208"/>
      <c r="H972" s="131">
        <f>SUM(H970:H971)</f>
        <v>5002800</v>
      </c>
      <c r="I972" s="53"/>
      <c r="J972" s="53"/>
      <c r="K972" s="53"/>
      <c r="L972" s="54"/>
      <c r="M972" s="44"/>
      <c r="N972" s="143"/>
      <c r="O972" s="143"/>
      <c r="P972" s="78"/>
    </row>
    <row r="973" spans="1:19" ht="18" customHeight="1">
      <c r="A973" s="94"/>
      <c r="B973" s="137"/>
      <c r="C973" s="137"/>
      <c r="D973" s="137"/>
      <c r="E973" s="94"/>
      <c r="F973" s="138"/>
      <c r="G973" s="138"/>
      <c r="H973" s="138"/>
      <c r="I973" s="138"/>
      <c r="J973" s="94"/>
      <c r="K973" s="139"/>
      <c r="L973" s="53"/>
      <c r="M973" s="53"/>
      <c r="N973" s="53"/>
      <c r="O973" s="56"/>
      <c r="P973" s="44"/>
      <c r="Q973" s="78"/>
      <c r="R973" s="78"/>
      <c r="S973" s="78"/>
    </row>
    <row r="974" spans="1:19" ht="18" customHeight="1">
      <c r="A974" s="53"/>
      <c r="B974" s="95" t="s">
        <v>537</v>
      </c>
      <c r="C974" s="95"/>
      <c r="D974" s="95"/>
      <c r="E974" s="95"/>
      <c r="F974" s="95"/>
      <c r="G974" s="95"/>
      <c r="H974" s="95"/>
      <c r="I974" s="95"/>
      <c r="J974" s="56"/>
      <c r="K974" s="53"/>
      <c r="L974" s="53"/>
      <c r="M974" s="53"/>
      <c r="N974" s="53"/>
      <c r="O974" s="56"/>
      <c r="P974" s="44"/>
      <c r="Q974" s="78"/>
      <c r="R974" s="78"/>
      <c r="S974" s="78"/>
    </row>
    <row r="975" spans="1:19" ht="18" customHeight="1">
      <c r="A975" s="53"/>
      <c r="B975" s="53"/>
      <c r="C975" s="53"/>
      <c r="D975" s="53"/>
      <c r="E975" s="53"/>
      <c r="F975" s="56"/>
      <c r="G975" s="56"/>
      <c r="H975" s="56"/>
      <c r="I975" s="56"/>
      <c r="J975" s="56"/>
      <c r="K975" s="53"/>
      <c r="L975" s="53"/>
      <c r="M975" s="53"/>
      <c r="N975" s="53"/>
      <c r="O975" s="56"/>
      <c r="P975" s="44"/>
      <c r="Q975" s="78"/>
      <c r="R975" s="78"/>
      <c r="S975" s="78"/>
    </row>
    <row r="976" spans="1:19" ht="100.5" customHeight="1">
      <c r="A976" s="107" t="s">
        <v>155</v>
      </c>
      <c r="B976" s="216" t="s">
        <v>156</v>
      </c>
      <c r="C976" s="217"/>
      <c r="D976" s="218"/>
      <c r="E976" s="100" t="s">
        <v>168</v>
      </c>
      <c r="F976" s="216" t="s">
        <v>287</v>
      </c>
      <c r="G976" s="218"/>
      <c r="H976" s="216" t="s">
        <v>250</v>
      </c>
      <c r="I976" s="218"/>
      <c r="J976" s="100" t="s">
        <v>177</v>
      </c>
      <c r="K976" s="53"/>
      <c r="L976" s="53"/>
      <c r="M976" s="53"/>
      <c r="N976" s="53"/>
      <c r="O976" s="56"/>
      <c r="P976" s="44"/>
      <c r="Q976" s="78"/>
      <c r="R976" s="78"/>
      <c r="S976" s="78"/>
    </row>
    <row r="977" spans="1:19" ht="18" customHeight="1">
      <c r="A977" s="103">
        <v>1</v>
      </c>
      <c r="B977" s="207">
        <v>2</v>
      </c>
      <c r="C977" s="219"/>
      <c r="D977" s="208"/>
      <c r="E977" s="103">
        <v>3</v>
      </c>
      <c r="F977" s="207">
        <v>4</v>
      </c>
      <c r="G977" s="208"/>
      <c r="H977" s="207">
        <v>5</v>
      </c>
      <c r="I977" s="208"/>
      <c r="J977" s="103">
        <v>6</v>
      </c>
      <c r="K977" s="53"/>
      <c r="L977" s="53"/>
      <c r="M977" s="53"/>
      <c r="N977" s="53"/>
      <c r="O977" s="56"/>
      <c r="P977" s="44"/>
      <c r="Q977" s="78" t="s">
        <v>372</v>
      </c>
      <c r="R977" s="78">
        <f>Q978+Q980+Q979</f>
        <v>477573.1</v>
      </c>
      <c r="S977" s="78"/>
    </row>
    <row r="978" spans="1:19" ht="109.5" customHeight="1">
      <c r="A978" s="107">
        <v>1</v>
      </c>
      <c r="B978" s="204" t="s">
        <v>326</v>
      </c>
      <c r="C978" s="205"/>
      <c r="D978" s="206"/>
      <c r="E978" s="107">
        <v>226</v>
      </c>
      <c r="F978" s="207">
        <v>4</v>
      </c>
      <c r="G978" s="208"/>
      <c r="H978" s="230">
        <f>J978/F978</f>
        <v>101492.5</v>
      </c>
      <c r="I978" s="231"/>
      <c r="J978" s="109">
        <f>300000+150000-44030</f>
        <v>405970</v>
      </c>
      <c r="K978" s="130"/>
      <c r="L978" s="53"/>
      <c r="M978" s="53"/>
      <c r="N978" s="53"/>
      <c r="O978" s="56"/>
      <c r="P978" s="44"/>
      <c r="Q978" s="78">
        <v>376393.1</v>
      </c>
      <c r="R978" s="78">
        <f>J978-Q978</f>
        <v>29576.900000000023</v>
      </c>
      <c r="S978" s="78">
        <v>29576.9</v>
      </c>
    </row>
    <row r="979" spans="1:19" ht="24" customHeight="1">
      <c r="A979" s="107">
        <v>2</v>
      </c>
      <c r="B979" s="204" t="s">
        <v>283</v>
      </c>
      <c r="C979" s="205"/>
      <c r="D979" s="206"/>
      <c r="E979" s="107">
        <v>310</v>
      </c>
      <c r="F979" s="207">
        <v>6</v>
      </c>
      <c r="G979" s="208"/>
      <c r="H979" s="230">
        <f>J979/F979</f>
        <v>47912.094999999994</v>
      </c>
      <c r="I979" s="231"/>
      <c r="J979" s="109">
        <f>532400+1329100-150000-90000-547760-495560-276249.21-22658.22+8200</f>
        <v>287472.56999999995</v>
      </c>
      <c r="K979" s="130"/>
      <c r="L979" s="130"/>
      <c r="M979" s="53"/>
      <c r="N979" s="130"/>
      <c r="O979" s="63"/>
      <c r="P979" s="44"/>
      <c r="Q979" s="78">
        <v>56000</v>
      </c>
      <c r="R979" s="78">
        <f>J979-Q979</f>
        <v>231472.56999999995</v>
      </c>
      <c r="S979" s="78">
        <v>223272.57</v>
      </c>
    </row>
    <row r="980" spans="1:19" ht="28.5" customHeight="1">
      <c r="A980" s="107">
        <v>3</v>
      </c>
      <c r="B980" s="204" t="s">
        <v>533</v>
      </c>
      <c r="C980" s="205"/>
      <c r="D980" s="206"/>
      <c r="E980" s="107">
        <v>346</v>
      </c>
      <c r="F980" s="207">
        <v>360</v>
      </c>
      <c r="G980" s="208"/>
      <c r="H980" s="230">
        <f>J980/F980</f>
        <v>125.5</v>
      </c>
      <c r="I980" s="231"/>
      <c r="J980" s="109">
        <f>90000-36620-8200</f>
        <v>45180</v>
      </c>
      <c r="K980" s="130"/>
      <c r="L980" s="53"/>
      <c r="M980" s="53"/>
      <c r="N980" s="53"/>
      <c r="O980" s="56"/>
      <c r="P980" s="44"/>
      <c r="Q980" s="78">
        <v>45180</v>
      </c>
      <c r="R980" s="78">
        <f>J980-Q980</f>
        <v>0</v>
      </c>
      <c r="S980" s="78"/>
    </row>
    <row r="981" spans="1:19" ht="18" customHeight="1">
      <c r="A981" s="107"/>
      <c r="B981" s="207" t="s">
        <v>130</v>
      </c>
      <c r="C981" s="219"/>
      <c r="D981" s="208"/>
      <c r="E981" s="107"/>
      <c r="F981" s="207" t="s">
        <v>172</v>
      </c>
      <c r="G981" s="208"/>
      <c r="H981" s="207" t="s">
        <v>172</v>
      </c>
      <c r="I981" s="208"/>
      <c r="J981" s="131">
        <f>SUM(J978:J980)</f>
        <v>738622.57</v>
      </c>
      <c r="K981" s="53"/>
      <c r="L981" s="53"/>
      <c r="M981" s="53"/>
      <c r="N981" s="53"/>
      <c r="O981" s="56"/>
      <c r="P981" s="44"/>
      <c r="Q981" s="78"/>
      <c r="R981" s="78"/>
      <c r="S981" s="78"/>
    </row>
    <row r="982" spans="1:19" ht="18" customHeight="1">
      <c r="A982" s="94"/>
      <c r="B982" s="138"/>
      <c r="C982" s="138"/>
      <c r="D982" s="138"/>
      <c r="E982" s="94"/>
      <c r="F982" s="138"/>
      <c r="G982" s="138"/>
      <c r="H982" s="138"/>
      <c r="I982" s="138"/>
      <c r="J982" s="139"/>
      <c r="K982" s="53"/>
      <c r="L982" s="53"/>
      <c r="M982" s="53"/>
      <c r="N982" s="53"/>
      <c r="O982" s="56"/>
      <c r="P982" s="44"/>
      <c r="Q982" s="78"/>
      <c r="R982" s="78"/>
      <c r="S982" s="78"/>
    </row>
    <row r="983" spans="1:19" ht="18" customHeight="1">
      <c r="A983" s="53"/>
      <c r="B983" s="53" t="s">
        <v>426</v>
      </c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6"/>
      <c r="P983" s="82"/>
      <c r="Q983" s="83"/>
      <c r="R983" s="83"/>
      <c r="S983" s="78"/>
    </row>
    <row r="984" spans="1:19" ht="18" customHeight="1">
      <c r="A984" s="53"/>
      <c r="B984" s="53" t="s">
        <v>152</v>
      </c>
      <c r="C984" s="53"/>
      <c r="D984" s="192">
        <v>100</v>
      </c>
      <c r="E984" s="56"/>
      <c r="F984" s="56"/>
      <c r="G984" s="56"/>
      <c r="H984" s="56"/>
      <c r="I984" s="56"/>
      <c r="J984" s="53"/>
      <c r="K984" s="53"/>
      <c r="L984" s="53"/>
      <c r="M984" s="53"/>
      <c r="N984" s="53"/>
      <c r="O984" s="56"/>
      <c r="P984" s="82"/>
      <c r="Q984" s="83"/>
      <c r="R984" s="83"/>
      <c r="S984" s="78"/>
    </row>
    <row r="985" spans="1:19" ht="18" customHeight="1">
      <c r="A985" s="53"/>
      <c r="B985" s="53" t="s">
        <v>153</v>
      </c>
      <c r="C985" s="53"/>
      <c r="D985" s="53"/>
      <c r="E985" s="55" t="s">
        <v>347</v>
      </c>
      <c r="F985" s="56" t="s">
        <v>228</v>
      </c>
      <c r="G985" s="56"/>
      <c r="H985" s="56"/>
      <c r="I985" s="56"/>
      <c r="J985" s="56"/>
      <c r="K985" s="53"/>
      <c r="L985" s="53"/>
      <c r="M985" s="53"/>
      <c r="N985" s="53"/>
      <c r="O985" s="56"/>
      <c r="P985" s="82"/>
      <c r="Q985" s="83"/>
      <c r="R985" s="83"/>
      <c r="S985" s="78"/>
    </row>
    <row r="986" spans="1:19" ht="18" customHeight="1">
      <c r="A986" s="53"/>
      <c r="B986" s="53"/>
      <c r="C986" s="53"/>
      <c r="D986" s="53"/>
      <c r="E986" s="55"/>
      <c r="F986" s="56"/>
      <c r="G986" s="56"/>
      <c r="H986" s="56"/>
      <c r="I986" s="56"/>
      <c r="J986" s="56"/>
      <c r="K986" s="53"/>
      <c r="L986" s="53"/>
      <c r="M986" s="53"/>
      <c r="N986" s="53"/>
      <c r="O986" s="56"/>
      <c r="P986" s="82"/>
      <c r="Q986" s="83"/>
      <c r="R986" s="83"/>
      <c r="S986" s="78"/>
    </row>
    <row r="987" spans="1:19" ht="18" customHeight="1">
      <c r="A987" s="53"/>
      <c r="B987" s="53" t="s">
        <v>427</v>
      </c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4"/>
      <c r="P987" s="82"/>
      <c r="Q987" s="78"/>
      <c r="R987" s="78"/>
      <c r="S987" s="78"/>
    </row>
    <row r="988" spans="1:19" ht="18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4"/>
      <c r="P988" s="82"/>
      <c r="Q988" s="83"/>
      <c r="R988" s="83"/>
      <c r="S988" s="78"/>
    </row>
    <row r="989" spans="1:19" ht="18" customHeight="1">
      <c r="A989" s="124" t="s">
        <v>155</v>
      </c>
      <c r="B989" s="260" t="s">
        <v>156</v>
      </c>
      <c r="C989" s="260"/>
      <c r="D989" s="260"/>
      <c r="E989" s="260"/>
      <c r="F989" s="260" t="s">
        <v>157</v>
      </c>
      <c r="G989" s="260"/>
      <c r="H989" s="188" t="s">
        <v>158</v>
      </c>
      <c r="I989" s="188" t="s">
        <v>159</v>
      </c>
      <c r="J989" s="232" t="s">
        <v>348</v>
      </c>
      <c r="K989" s="233"/>
      <c r="L989" s="117"/>
      <c r="M989" s="117"/>
      <c r="N989" s="117"/>
      <c r="O989" s="118"/>
      <c r="P989" s="110"/>
      <c r="Q989" s="111"/>
      <c r="R989" s="112"/>
      <c r="S989" s="78"/>
    </row>
    <row r="990" spans="1:19" ht="18" customHeight="1">
      <c r="A990" s="187">
        <v>1</v>
      </c>
      <c r="B990" s="232">
        <v>2</v>
      </c>
      <c r="C990" s="237"/>
      <c r="D990" s="237"/>
      <c r="E990" s="233"/>
      <c r="F990" s="227">
        <v>3</v>
      </c>
      <c r="G990" s="228"/>
      <c r="H990" s="191">
        <v>4</v>
      </c>
      <c r="I990" s="119">
        <v>5</v>
      </c>
      <c r="J990" s="227">
        <v>6</v>
      </c>
      <c r="K990" s="228"/>
      <c r="L990" s="193"/>
      <c r="M990" s="193"/>
      <c r="N990" s="193"/>
      <c r="O990" s="62"/>
      <c r="P990" s="113"/>
      <c r="Q990" s="78" t="s">
        <v>308</v>
      </c>
      <c r="R990" s="78">
        <f>Q991</f>
        <v>36341</v>
      </c>
      <c r="S990" s="78"/>
    </row>
    <row r="991" spans="1:19" ht="39" customHeight="1">
      <c r="A991" s="125">
        <v>1</v>
      </c>
      <c r="B991" s="198" t="s">
        <v>410</v>
      </c>
      <c r="C991" s="199"/>
      <c r="D991" s="199"/>
      <c r="E991" s="200"/>
      <c r="F991" s="203">
        <v>211</v>
      </c>
      <c r="G991" s="203"/>
      <c r="H991" s="173">
        <f>J991/I991</f>
        <v>3043.6425000000004</v>
      </c>
      <c r="I991" s="120">
        <v>12</v>
      </c>
      <c r="J991" s="215">
        <f>327649-145599.19+17879.19-92294.7-43186.63-27923.96</f>
        <v>36523.71000000001</v>
      </c>
      <c r="K991" s="215"/>
      <c r="L991" s="53"/>
      <c r="M991" s="53"/>
      <c r="N991" s="53"/>
      <c r="O991" s="54"/>
      <c r="P991" s="82"/>
      <c r="Q991" s="115">
        <v>36341</v>
      </c>
      <c r="R991" s="115">
        <f>J991-Q991</f>
        <v>182.7100000000064</v>
      </c>
      <c r="S991" s="78"/>
    </row>
    <row r="992" spans="1:19" ht="18" customHeight="1">
      <c r="A992" s="49"/>
      <c r="B992" s="201" t="s">
        <v>130</v>
      </c>
      <c r="C992" s="226"/>
      <c r="D992" s="226"/>
      <c r="E992" s="202"/>
      <c r="F992" s="201"/>
      <c r="G992" s="202"/>
      <c r="H992" s="121"/>
      <c r="I992" s="122"/>
      <c r="J992" s="209">
        <f>J991</f>
        <v>36523.71000000001</v>
      </c>
      <c r="K992" s="210"/>
      <c r="L992" s="53"/>
      <c r="M992" s="53"/>
      <c r="N992" s="53"/>
      <c r="O992" s="54"/>
      <c r="P992" s="114"/>
      <c r="Q992" s="115"/>
      <c r="R992" s="83"/>
      <c r="S992" s="78"/>
    </row>
    <row r="993" spans="1:19" ht="18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4"/>
      <c r="P993" s="82"/>
      <c r="Q993" s="83"/>
      <c r="R993" s="83"/>
      <c r="S993" s="78"/>
    </row>
    <row r="994" spans="1:18" s="35" customFormat="1" ht="18.75">
      <c r="A994" s="53"/>
      <c r="B994" s="95" t="s">
        <v>566</v>
      </c>
      <c r="C994" s="95"/>
      <c r="D994" s="95"/>
      <c r="E994" s="95"/>
      <c r="F994" s="95"/>
      <c r="G994" s="95"/>
      <c r="H994" s="95"/>
      <c r="I994" s="95"/>
      <c r="J994" s="56"/>
      <c r="K994" s="53"/>
      <c r="L994" s="53"/>
      <c r="M994" s="53"/>
      <c r="N994" s="53"/>
      <c r="O994" s="56"/>
      <c r="P994" s="44"/>
      <c r="Q994" s="128"/>
      <c r="R994" s="128"/>
    </row>
    <row r="995" spans="1:18" s="35" customFormat="1" ht="11.25" customHeight="1">
      <c r="A995" s="53"/>
      <c r="B995" s="53"/>
      <c r="C995" s="53"/>
      <c r="D995" s="53"/>
      <c r="E995" s="53"/>
      <c r="F995" s="56"/>
      <c r="G995" s="56"/>
      <c r="H995" s="56"/>
      <c r="I995" s="56"/>
      <c r="J995" s="56"/>
      <c r="K995" s="53"/>
      <c r="L995" s="53"/>
      <c r="M995" s="53"/>
      <c r="N995" s="53"/>
      <c r="O995" s="56"/>
      <c r="P995" s="44"/>
      <c r="Q995" s="128"/>
      <c r="R995" s="128"/>
    </row>
    <row r="996" spans="1:17" s="177" customFormat="1" ht="72" customHeight="1">
      <c r="A996" s="99" t="s">
        <v>155</v>
      </c>
      <c r="B996" s="216" t="s">
        <v>156</v>
      </c>
      <c r="C996" s="217"/>
      <c r="D996" s="217"/>
      <c r="E996" s="217"/>
      <c r="F996" s="218"/>
      <c r="G996" s="216" t="s">
        <v>157</v>
      </c>
      <c r="H996" s="218"/>
      <c r="I996" s="190" t="s">
        <v>174</v>
      </c>
      <c r="J996" s="190" t="s">
        <v>175</v>
      </c>
      <c r="K996" s="100" t="s">
        <v>351</v>
      </c>
      <c r="L996" s="117"/>
      <c r="M996" s="117"/>
      <c r="N996" s="117"/>
      <c r="O996" s="175"/>
      <c r="P996" s="176"/>
      <c r="Q996" s="168"/>
    </row>
    <row r="997" spans="1:17" s="179" customFormat="1" ht="18.75">
      <c r="A997" s="103">
        <v>1</v>
      </c>
      <c r="B997" s="207">
        <v>2</v>
      </c>
      <c r="C997" s="219"/>
      <c r="D997" s="219"/>
      <c r="E997" s="219"/>
      <c r="F997" s="208"/>
      <c r="G997" s="207">
        <v>3</v>
      </c>
      <c r="H997" s="208"/>
      <c r="I997" s="189">
        <v>4</v>
      </c>
      <c r="J997" s="189">
        <v>5</v>
      </c>
      <c r="K997" s="103">
        <v>6</v>
      </c>
      <c r="L997" s="193"/>
      <c r="M997" s="193"/>
      <c r="N997" s="193"/>
      <c r="O997" s="55"/>
      <c r="P997" s="178"/>
      <c r="Q997" s="128"/>
    </row>
    <row r="998" spans="1:17" s="35" customFormat="1" ht="50.25" customHeight="1">
      <c r="A998" s="107">
        <v>1</v>
      </c>
      <c r="B998" s="220" t="s">
        <v>565</v>
      </c>
      <c r="C998" s="221"/>
      <c r="D998" s="221"/>
      <c r="E998" s="221"/>
      <c r="F998" s="222"/>
      <c r="G998" s="207">
        <v>212</v>
      </c>
      <c r="H998" s="208"/>
      <c r="I998" s="180">
        <v>62</v>
      </c>
      <c r="J998" s="180">
        <v>1</v>
      </c>
      <c r="K998" s="109">
        <v>320000</v>
      </c>
      <c r="L998" s="53"/>
      <c r="M998" s="53"/>
      <c r="N998" s="53"/>
      <c r="O998" s="56"/>
      <c r="P998" s="178"/>
      <c r="Q998" s="128"/>
    </row>
    <row r="999" spans="1:17" s="35" customFormat="1" ht="18.75">
      <c r="A999" s="107"/>
      <c r="B999" s="212" t="s">
        <v>130</v>
      </c>
      <c r="C999" s="213"/>
      <c r="D999" s="213"/>
      <c r="E999" s="213"/>
      <c r="F999" s="214"/>
      <c r="G999" s="207"/>
      <c r="H999" s="208"/>
      <c r="I999" s="180" t="s">
        <v>172</v>
      </c>
      <c r="J999" s="180" t="s">
        <v>172</v>
      </c>
      <c r="K999" s="131">
        <f>SUM(K998:K998)</f>
        <v>320000</v>
      </c>
      <c r="L999" s="53"/>
      <c r="M999" s="53"/>
      <c r="N999" s="53"/>
      <c r="O999" s="56"/>
      <c r="P999" s="178"/>
      <c r="Q999" s="128"/>
    </row>
    <row r="1000" spans="1:17" s="35" customFormat="1" ht="18.75">
      <c r="A1000" s="94"/>
      <c r="B1000" s="137"/>
      <c r="C1000" s="137"/>
      <c r="D1000" s="137"/>
      <c r="E1000" s="137"/>
      <c r="F1000" s="137"/>
      <c r="G1000" s="138"/>
      <c r="H1000" s="138"/>
      <c r="I1000" s="181"/>
      <c r="J1000" s="181"/>
      <c r="K1000" s="139"/>
      <c r="L1000" s="53"/>
      <c r="M1000" s="53"/>
      <c r="N1000" s="53"/>
      <c r="O1000" s="56"/>
      <c r="P1000" s="178"/>
      <c r="Q1000" s="128"/>
    </row>
    <row r="1001" spans="1:19" ht="18" customHeight="1">
      <c r="A1001" s="53"/>
      <c r="B1001" s="53" t="s">
        <v>567</v>
      </c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4"/>
      <c r="P1001" s="82"/>
      <c r="Q1001" s="83"/>
      <c r="R1001" s="83"/>
      <c r="S1001" s="78"/>
    </row>
    <row r="1002" spans="1:19" ht="18" customHeight="1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4"/>
      <c r="P1002" s="82"/>
      <c r="Q1002" s="83"/>
      <c r="R1002" s="115"/>
      <c r="S1002" s="78"/>
    </row>
    <row r="1003" spans="1:19" ht="70.5" customHeight="1">
      <c r="A1003" s="124" t="s">
        <v>155</v>
      </c>
      <c r="B1003" s="234" t="s">
        <v>167</v>
      </c>
      <c r="C1003" s="235"/>
      <c r="D1003" s="235"/>
      <c r="E1003" s="236"/>
      <c r="F1003" s="232" t="s">
        <v>157</v>
      </c>
      <c r="G1003" s="233"/>
      <c r="H1003" s="188" t="s">
        <v>350</v>
      </c>
      <c r="I1003" s="232" t="s">
        <v>351</v>
      </c>
      <c r="J1003" s="233"/>
      <c r="K1003" s="117"/>
      <c r="L1003" s="117"/>
      <c r="M1003" s="117"/>
      <c r="N1003" s="117"/>
      <c r="O1003" s="118"/>
      <c r="P1003" s="110"/>
      <c r="Q1003" s="116"/>
      <c r="R1003" s="116"/>
      <c r="S1003" s="78"/>
    </row>
    <row r="1004" spans="1:19" ht="18" customHeight="1">
      <c r="A1004" s="187">
        <v>1</v>
      </c>
      <c r="B1004" s="201">
        <v>2</v>
      </c>
      <c r="C1004" s="226"/>
      <c r="D1004" s="226"/>
      <c r="E1004" s="202"/>
      <c r="F1004" s="201">
        <v>3</v>
      </c>
      <c r="G1004" s="202"/>
      <c r="H1004" s="187">
        <v>4</v>
      </c>
      <c r="I1004" s="201">
        <v>5</v>
      </c>
      <c r="J1004" s="202"/>
      <c r="K1004" s="53"/>
      <c r="L1004" s="53"/>
      <c r="M1004" s="53"/>
      <c r="N1004" s="53"/>
      <c r="O1004" s="54"/>
      <c r="P1004" s="82"/>
      <c r="Q1004" s="78" t="s">
        <v>309</v>
      </c>
      <c r="R1004" s="78">
        <f>Q1005</f>
        <v>10975.18</v>
      </c>
      <c r="S1004" s="78"/>
    </row>
    <row r="1005" spans="1:19" ht="36" customHeight="1">
      <c r="A1005" s="49">
        <v>1</v>
      </c>
      <c r="B1005" s="198" t="s">
        <v>410</v>
      </c>
      <c r="C1005" s="199"/>
      <c r="D1005" s="199"/>
      <c r="E1005" s="200"/>
      <c r="F1005" s="201">
        <v>213</v>
      </c>
      <c r="G1005" s="202"/>
      <c r="H1005" s="123">
        <v>30.2</v>
      </c>
      <c r="I1005" s="209">
        <f>98951-43970.96+5399.51-27873-13042.37-8433.04</f>
        <v>11031.14</v>
      </c>
      <c r="J1005" s="210"/>
      <c r="K1005" s="53"/>
      <c r="L1005" s="130"/>
      <c r="M1005" s="53"/>
      <c r="N1005" s="53"/>
      <c r="O1005" s="54"/>
      <c r="P1005" s="82"/>
      <c r="Q1005" s="115">
        <v>10975.18</v>
      </c>
      <c r="R1005" s="115">
        <f>I1005-Q1005</f>
        <v>55.95999999999913</v>
      </c>
      <c r="S1005" s="78">
        <f>R991+R1005</f>
        <v>238.67000000000553</v>
      </c>
    </row>
    <row r="1006" spans="1:19" ht="57" customHeight="1">
      <c r="A1006" s="49">
        <v>1</v>
      </c>
      <c r="B1006" s="198" t="s">
        <v>565</v>
      </c>
      <c r="C1006" s="199"/>
      <c r="D1006" s="199"/>
      <c r="E1006" s="200"/>
      <c r="F1006" s="201">
        <v>213</v>
      </c>
      <c r="G1006" s="202"/>
      <c r="H1006" s="123">
        <v>30.2</v>
      </c>
      <c r="I1006" s="209">
        <f>K999*0.302</f>
        <v>96640</v>
      </c>
      <c r="J1006" s="210"/>
      <c r="K1006" s="53"/>
      <c r="L1006" s="130"/>
      <c r="M1006" s="53"/>
      <c r="N1006" s="53"/>
      <c r="O1006" s="54"/>
      <c r="P1006" s="82"/>
      <c r="Q1006" s="115">
        <v>10975.18</v>
      </c>
      <c r="R1006" s="115">
        <f>I1006-Q1006</f>
        <v>85664.82</v>
      </c>
      <c r="S1006" s="78">
        <f>R992+R1006</f>
        <v>85664.82</v>
      </c>
    </row>
    <row r="1007" spans="1:19" ht="18" customHeight="1">
      <c r="A1007" s="49"/>
      <c r="B1007" s="201" t="s">
        <v>130</v>
      </c>
      <c r="C1007" s="226"/>
      <c r="D1007" s="226"/>
      <c r="E1007" s="202"/>
      <c r="F1007" s="201"/>
      <c r="G1007" s="202"/>
      <c r="H1007" s="49" t="s">
        <v>172</v>
      </c>
      <c r="I1007" s="209">
        <f>SUM(I1005:J1006)</f>
        <v>107671.14</v>
      </c>
      <c r="J1007" s="210"/>
      <c r="K1007" s="53"/>
      <c r="L1007" s="53"/>
      <c r="M1007" s="53"/>
      <c r="N1007" s="53"/>
      <c r="O1007" s="54"/>
      <c r="P1007" s="114"/>
      <c r="Q1007" s="83"/>
      <c r="R1007" s="83"/>
      <c r="S1007" s="78"/>
    </row>
    <row r="1008" spans="1:19" ht="18" customHeight="1">
      <c r="A1008" s="94"/>
      <c r="B1008" s="138"/>
      <c r="C1008" s="138"/>
      <c r="D1008" s="138"/>
      <c r="E1008" s="94"/>
      <c r="F1008" s="138"/>
      <c r="G1008" s="138"/>
      <c r="H1008" s="138"/>
      <c r="I1008" s="138"/>
      <c r="J1008" s="139"/>
      <c r="K1008" s="53"/>
      <c r="L1008" s="53"/>
      <c r="M1008" s="53"/>
      <c r="N1008" s="53"/>
      <c r="O1008" s="56"/>
      <c r="P1008" s="44"/>
      <c r="Q1008" s="78"/>
      <c r="R1008" s="78"/>
      <c r="S1008" s="78"/>
    </row>
    <row r="1009" spans="1:19" ht="18" customHeight="1">
      <c r="A1009" s="1"/>
      <c r="B1009" s="153" t="s">
        <v>431</v>
      </c>
      <c r="C1009" s="153"/>
      <c r="D1009" s="153"/>
      <c r="E1009" s="153"/>
      <c r="F1009" s="153"/>
      <c r="G1009" s="153"/>
      <c r="H1009" s="153"/>
      <c r="I1009" s="153"/>
      <c r="J1009" s="153"/>
      <c r="K1009" s="153"/>
      <c r="L1009" s="153"/>
      <c r="M1009" s="53"/>
      <c r="N1009" s="41"/>
      <c r="O1009" s="160"/>
      <c r="P1009" s="44"/>
      <c r="Q1009" s="78"/>
      <c r="R1009" s="78"/>
      <c r="S1009" s="78"/>
    </row>
    <row r="1010" spans="1:19" ht="18" customHeight="1">
      <c r="A1010" s="1"/>
      <c r="B1010" s="161" t="s">
        <v>179</v>
      </c>
      <c r="C1010" s="161"/>
      <c r="D1010" s="162">
        <v>243</v>
      </c>
      <c r="E1010" s="162"/>
      <c r="F1010" s="161"/>
      <c r="G1010" s="161"/>
      <c r="H1010" s="95"/>
      <c r="I1010" s="95"/>
      <c r="J1010" s="95"/>
      <c r="K1010" s="157"/>
      <c r="L1010" s="157"/>
      <c r="M1010" s="53"/>
      <c r="N1010" s="41"/>
      <c r="O1010" s="160"/>
      <c r="P1010" s="44"/>
      <c r="Q1010" s="78"/>
      <c r="R1010" s="78"/>
      <c r="S1010" s="78"/>
    </row>
    <row r="1011" spans="1:19" ht="18" customHeight="1">
      <c r="A1011" s="1"/>
      <c r="B1011" s="95" t="s">
        <v>153</v>
      </c>
      <c r="C1011" s="95"/>
      <c r="D1011" s="141"/>
      <c r="E1011" s="141" t="s">
        <v>222</v>
      </c>
      <c r="F1011" s="141"/>
      <c r="G1011" s="141"/>
      <c r="H1011" s="95"/>
      <c r="I1011" s="95"/>
      <c r="J1011" s="95"/>
      <c r="K1011" s="157"/>
      <c r="L1011" s="157"/>
      <c r="M1011" s="53"/>
      <c r="N1011" s="41"/>
      <c r="O1011" s="160"/>
      <c r="P1011" s="44"/>
      <c r="Q1011" s="78"/>
      <c r="R1011" s="78"/>
      <c r="S1011" s="78"/>
    </row>
    <row r="1012" spans="1:19" ht="18" customHeight="1">
      <c r="A1012" s="163"/>
      <c r="B1012" s="157"/>
      <c r="C1012" s="158"/>
      <c r="D1012" s="158"/>
      <c r="E1012" s="158"/>
      <c r="F1012" s="158"/>
      <c r="G1012" s="157"/>
      <c r="H1012" s="157"/>
      <c r="I1012" s="157"/>
      <c r="J1012" s="157"/>
      <c r="K1012" s="157"/>
      <c r="L1012" s="157"/>
      <c r="M1012" s="53"/>
      <c r="N1012" s="41"/>
      <c r="O1012" s="160"/>
      <c r="P1012" s="44"/>
      <c r="Q1012" s="78"/>
      <c r="R1012" s="78"/>
      <c r="S1012" s="78"/>
    </row>
    <row r="1013" spans="1:19" ht="18" customHeight="1">
      <c r="A1013" s="163"/>
      <c r="B1013" s="153" t="s">
        <v>432</v>
      </c>
      <c r="C1013" s="153"/>
      <c r="D1013" s="153"/>
      <c r="E1013" s="153"/>
      <c r="F1013" s="153"/>
      <c r="G1013" s="153"/>
      <c r="H1013" s="153"/>
      <c r="I1013" s="153"/>
      <c r="J1013" s="153"/>
      <c r="K1013" s="153"/>
      <c r="L1013" s="157"/>
      <c r="M1013" s="53"/>
      <c r="N1013" s="41"/>
      <c r="O1013" s="160"/>
      <c r="P1013" s="44"/>
      <c r="Q1013" s="78"/>
      <c r="R1013" s="78"/>
      <c r="S1013" s="78"/>
    </row>
    <row r="1014" spans="1:19" ht="18" customHeight="1">
      <c r="A1014" s="41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41"/>
      <c r="O1014" s="160"/>
      <c r="P1014" s="44"/>
      <c r="Q1014" s="78"/>
      <c r="R1014" s="78"/>
      <c r="S1014" s="78"/>
    </row>
    <row r="1015" spans="1:19" ht="18" customHeight="1">
      <c r="A1015" s="164" t="s">
        <v>155</v>
      </c>
      <c r="B1015" s="259" t="s">
        <v>0</v>
      </c>
      <c r="C1015" s="259"/>
      <c r="D1015" s="259"/>
      <c r="E1015" s="259" t="s">
        <v>168</v>
      </c>
      <c r="F1015" s="259"/>
      <c r="G1015" s="259" t="s">
        <v>185</v>
      </c>
      <c r="H1015" s="259"/>
      <c r="I1015" s="61" t="s">
        <v>186</v>
      </c>
      <c r="J1015" s="61" t="s">
        <v>187</v>
      </c>
      <c r="K1015" s="53"/>
      <c r="L1015" s="53"/>
      <c r="M1015" s="53"/>
      <c r="N1015" s="41"/>
      <c r="O1015" s="160"/>
      <c r="P1015" s="44"/>
      <c r="Q1015" s="78"/>
      <c r="R1015" s="78"/>
      <c r="S1015" s="78"/>
    </row>
    <row r="1016" spans="1:19" ht="18" customHeight="1">
      <c r="A1016" s="165">
        <v>1</v>
      </c>
      <c r="B1016" s="203">
        <v>2</v>
      </c>
      <c r="C1016" s="203"/>
      <c r="D1016" s="203"/>
      <c r="E1016" s="203">
        <v>3</v>
      </c>
      <c r="F1016" s="203"/>
      <c r="G1016" s="203">
        <v>4</v>
      </c>
      <c r="H1016" s="203"/>
      <c r="I1016" s="187">
        <v>5</v>
      </c>
      <c r="J1016" s="187">
        <v>6</v>
      </c>
      <c r="K1016" s="53"/>
      <c r="L1016" s="53"/>
      <c r="M1016" s="53"/>
      <c r="N1016" s="41"/>
      <c r="O1016" s="160"/>
      <c r="P1016" s="44"/>
      <c r="Q1016" s="78" t="s">
        <v>315</v>
      </c>
      <c r="R1016" s="78">
        <f>Q1017</f>
        <v>0</v>
      </c>
      <c r="S1016" s="78"/>
    </row>
    <row r="1017" spans="1:19" ht="72" customHeight="1">
      <c r="A1017" s="164">
        <v>1</v>
      </c>
      <c r="B1017" s="211" t="s">
        <v>430</v>
      </c>
      <c r="C1017" s="211"/>
      <c r="D1017" s="211"/>
      <c r="E1017" s="203">
        <v>226</v>
      </c>
      <c r="F1017" s="203"/>
      <c r="G1017" s="203" t="s">
        <v>209</v>
      </c>
      <c r="H1017" s="203"/>
      <c r="I1017" s="49">
        <v>1</v>
      </c>
      <c r="J1017" s="52">
        <v>184450</v>
      </c>
      <c r="K1017" s="53"/>
      <c r="L1017" s="53"/>
      <c r="M1017" s="53"/>
      <c r="N1017" s="41"/>
      <c r="O1017" s="160"/>
      <c r="P1017" s="44"/>
      <c r="Q1017" s="78"/>
      <c r="R1017" s="78">
        <f>J1017-Q1017</f>
        <v>184450</v>
      </c>
      <c r="S1017" s="78"/>
    </row>
    <row r="1018" spans="1:19" ht="18" customHeight="1">
      <c r="A1018" s="164"/>
      <c r="B1018" s="201" t="s">
        <v>130</v>
      </c>
      <c r="C1018" s="226"/>
      <c r="D1018" s="202"/>
      <c r="E1018" s="201"/>
      <c r="F1018" s="202"/>
      <c r="G1018" s="203" t="s">
        <v>6</v>
      </c>
      <c r="H1018" s="203"/>
      <c r="I1018" s="49" t="s">
        <v>6</v>
      </c>
      <c r="J1018" s="52">
        <f>SUM(J1017:J1017)</f>
        <v>184450</v>
      </c>
      <c r="K1018" s="53"/>
      <c r="L1018" s="53"/>
      <c r="M1018" s="53"/>
      <c r="N1018" s="41"/>
      <c r="O1018" s="160"/>
      <c r="P1018" s="44"/>
      <c r="Q1018" s="78"/>
      <c r="R1018" s="78"/>
      <c r="S1018" s="78"/>
    </row>
    <row r="1019" spans="1:19" ht="18" customHeight="1">
      <c r="A1019" s="94"/>
      <c r="B1019" s="138"/>
      <c r="C1019" s="138"/>
      <c r="D1019" s="138"/>
      <c r="E1019" s="94"/>
      <c r="F1019" s="138"/>
      <c r="G1019" s="138"/>
      <c r="H1019" s="138"/>
      <c r="I1019" s="138"/>
      <c r="J1019" s="139"/>
      <c r="K1019" s="53"/>
      <c r="L1019" s="53"/>
      <c r="M1019" s="53"/>
      <c r="N1019" s="53"/>
      <c r="O1019" s="56"/>
      <c r="P1019" s="44"/>
      <c r="Q1019" s="78"/>
      <c r="R1019" s="78"/>
      <c r="S1019" s="78"/>
    </row>
    <row r="1020" spans="1:19" ht="18" customHeight="1">
      <c r="A1020" s="35"/>
      <c r="B1020" s="53" t="s">
        <v>353</v>
      </c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6"/>
      <c r="P1020" s="44"/>
      <c r="Q1020" s="78"/>
      <c r="R1020" s="78"/>
      <c r="S1020" s="78"/>
    </row>
    <row r="1021" spans="1:19" ht="18" customHeight="1">
      <c r="A1021" s="35"/>
      <c r="B1021" s="53" t="s">
        <v>179</v>
      </c>
      <c r="C1021" s="53"/>
      <c r="D1021" s="140">
        <v>244</v>
      </c>
      <c r="E1021" s="140"/>
      <c r="F1021" s="140"/>
      <c r="G1021" s="56"/>
      <c r="H1021" s="53"/>
      <c r="I1021" s="53"/>
      <c r="J1021" s="53"/>
      <c r="K1021" s="53"/>
      <c r="L1021" s="53"/>
      <c r="M1021" s="53"/>
      <c r="N1021" s="53"/>
      <c r="O1021" s="56"/>
      <c r="P1021" s="44"/>
      <c r="Q1021" s="78"/>
      <c r="R1021" s="78"/>
      <c r="S1021" s="78"/>
    </row>
    <row r="1022" spans="1:19" ht="18" customHeight="1">
      <c r="A1022" s="35"/>
      <c r="B1022" s="53" t="s">
        <v>153</v>
      </c>
      <c r="C1022" s="53"/>
      <c r="D1022" s="35"/>
      <c r="E1022" s="141" t="s">
        <v>222</v>
      </c>
      <c r="F1022" s="142"/>
      <c r="G1022" s="56"/>
      <c r="H1022" s="53"/>
      <c r="I1022" s="53"/>
      <c r="J1022" s="53"/>
      <c r="K1022" s="53"/>
      <c r="L1022" s="53"/>
      <c r="M1022" s="53"/>
      <c r="N1022" s="53"/>
      <c r="O1022" s="56"/>
      <c r="P1022" s="44"/>
      <c r="Q1022" s="78"/>
      <c r="R1022" s="78"/>
      <c r="S1022" s="78"/>
    </row>
    <row r="1023" spans="1:19" ht="18" customHeight="1">
      <c r="A1023" s="35"/>
      <c r="B1023" s="53"/>
      <c r="C1023" s="53"/>
      <c r="D1023" s="35"/>
      <c r="E1023" s="94"/>
      <c r="F1023" s="56"/>
      <c r="G1023" s="56"/>
      <c r="H1023" s="53"/>
      <c r="I1023" s="53"/>
      <c r="J1023" s="53"/>
      <c r="K1023" s="53"/>
      <c r="L1023" s="53"/>
      <c r="M1023" s="53"/>
      <c r="N1023" s="53"/>
      <c r="O1023" s="56"/>
      <c r="P1023" s="44"/>
      <c r="Q1023" s="78"/>
      <c r="R1023" s="78"/>
      <c r="S1023" s="78"/>
    </row>
    <row r="1024" spans="1:19" ht="18" customHeight="1">
      <c r="A1024" s="157"/>
      <c r="B1024" s="153" t="s">
        <v>433</v>
      </c>
      <c r="C1024" s="153"/>
      <c r="D1024" s="153"/>
      <c r="E1024" s="153"/>
      <c r="F1024" s="153"/>
      <c r="G1024" s="153"/>
      <c r="H1024" s="153"/>
      <c r="I1024" s="153"/>
      <c r="J1024" s="153"/>
      <c r="K1024" s="153"/>
      <c r="L1024" s="157"/>
      <c r="M1024" s="157"/>
      <c r="N1024" s="53"/>
      <c r="O1024" s="56"/>
      <c r="P1024" s="44"/>
      <c r="Q1024" s="78"/>
      <c r="R1024" s="78"/>
      <c r="S1024" s="78"/>
    </row>
    <row r="1025" spans="1:19" ht="18" customHeight="1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6"/>
      <c r="P1025" s="44"/>
      <c r="Q1025" s="78"/>
      <c r="R1025" s="78"/>
      <c r="S1025" s="78"/>
    </row>
    <row r="1026" spans="1:19" ht="18" customHeight="1">
      <c r="A1026" s="49" t="s">
        <v>155</v>
      </c>
      <c r="B1026" s="259" t="s">
        <v>0</v>
      </c>
      <c r="C1026" s="259"/>
      <c r="D1026" s="259"/>
      <c r="E1026" s="259" t="s">
        <v>168</v>
      </c>
      <c r="F1026" s="259"/>
      <c r="G1026" s="259" t="s">
        <v>185</v>
      </c>
      <c r="H1026" s="259"/>
      <c r="I1026" s="61" t="s">
        <v>186</v>
      </c>
      <c r="J1026" s="61" t="s">
        <v>187</v>
      </c>
      <c r="K1026" s="53"/>
      <c r="L1026" s="53"/>
      <c r="M1026" s="53"/>
      <c r="N1026" s="53"/>
      <c r="O1026" s="56"/>
      <c r="P1026" s="44"/>
      <c r="Q1026" s="78"/>
      <c r="R1026" s="78"/>
      <c r="S1026" s="78"/>
    </row>
    <row r="1027" spans="1:19" ht="18" customHeight="1">
      <c r="A1027" s="187">
        <v>1</v>
      </c>
      <c r="B1027" s="203">
        <v>2</v>
      </c>
      <c r="C1027" s="203"/>
      <c r="D1027" s="203"/>
      <c r="E1027" s="203">
        <v>3</v>
      </c>
      <c r="F1027" s="203"/>
      <c r="G1027" s="203">
        <v>4</v>
      </c>
      <c r="H1027" s="203"/>
      <c r="I1027" s="187">
        <v>5</v>
      </c>
      <c r="J1027" s="187">
        <v>6</v>
      </c>
      <c r="K1027" s="53"/>
      <c r="L1027" s="53"/>
      <c r="M1027" s="53"/>
      <c r="N1027" s="53"/>
      <c r="O1027" s="56"/>
      <c r="P1027" s="44"/>
      <c r="Q1027" s="78" t="s">
        <v>315</v>
      </c>
      <c r="R1027" s="78">
        <f>Q1028</f>
        <v>0</v>
      </c>
      <c r="S1027" s="78"/>
    </row>
    <row r="1028" spans="1:19" ht="99" customHeight="1">
      <c r="A1028" s="49">
        <v>1</v>
      </c>
      <c r="B1028" s="211" t="s">
        <v>407</v>
      </c>
      <c r="C1028" s="211"/>
      <c r="D1028" s="211"/>
      <c r="E1028" s="203">
        <v>225</v>
      </c>
      <c r="F1028" s="203"/>
      <c r="G1028" s="203" t="s">
        <v>209</v>
      </c>
      <c r="H1028" s="203"/>
      <c r="I1028" s="49">
        <v>1</v>
      </c>
      <c r="J1028" s="52">
        <v>60000</v>
      </c>
      <c r="K1028" s="53"/>
      <c r="L1028" s="53"/>
      <c r="M1028" s="53"/>
      <c r="N1028" s="53"/>
      <c r="O1028" s="56"/>
      <c r="P1028" s="44"/>
      <c r="Q1028" s="78"/>
      <c r="R1028" s="78">
        <f>J1028-Q1028</f>
        <v>60000</v>
      </c>
      <c r="S1028" s="78"/>
    </row>
    <row r="1029" spans="1:19" ht="18" customHeight="1">
      <c r="A1029" s="49"/>
      <c r="B1029" s="201" t="s">
        <v>130</v>
      </c>
      <c r="C1029" s="226"/>
      <c r="D1029" s="202"/>
      <c r="E1029" s="201"/>
      <c r="F1029" s="202"/>
      <c r="G1029" s="203" t="s">
        <v>6</v>
      </c>
      <c r="H1029" s="203"/>
      <c r="I1029" s="49" t="s">
        <v>6</v>
      </c>
      <c r="J1029" s="52">
        <f>SUM(J1028:J1028)</f>
        <v>60000</v>
      </c>
      <c r="K1029" s="53"/>
      <c r="L1029" s="53"/>
      <c r="M1029" s="53"/>
      <c r="N1029" s="53"/>
      <c r="O1029" s="56"/>
      <c r="P1029" s="44"/>
      <c r="Q1029" s="78"/>
      <c r="R1029" s="78"/>
      <c r="S1029" s="78"/>
    </row>
    <row r="1030" spans="1:19" ht="18" customHeight="1">
      <c r="A1030" s="94"/>
      <c r="B1030" s="137"/>
      <c r="C1030" s="137"/>
      <c r="D1030" s="137"/>
      <c r="E1030" s="94"/>
      <c r="F1030" s="138"/>
      <c r="G1030" s="138"/>
      <c r="H1030" s="138"/>
      <c r="I1030" s="138"/>
      <c r="J1030" s="94"/>
      <c r="K1030" s="139"/>
      <c r="L1030" s="53"/>
      <c r="M1030" s="53"/>
      <c r="N1030" s="53"/>
      <c r="O1030" s="56"/>
      <c r="P1030" s="44"/>
      <c r="Q1030" s="78"/>
      <c r="R1030" s="78"/>
      <c r="S1030" s="78"/>
    </row>
    <row r="1031" spans="1:19" ht="18.75">
      <c r="A1031" s="35"/>
      <c r="B1031" s="53" t="s">
        <v>434</v>
      </c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4"/>
      <c r="P1031" s="44"/>
      <c r="Q1031" s="78"/>
      <c r="R1031" s="78"/>
      <c r="S1031" s="78"/>
    </row>
    <row r="1032" spans="1:19" ht="18.75">
      <c r="A1032" s="35"/>
      <c r="B1032" s="53" t="s">
        <v>179</v>
      </c>
      <c r="C1032" s="53"/>
      <c r="D1032" s="140">
        <v>244</v>
      </c>
      <c r="E1032" s="140"/>
      <c r="F1032" s="140"/>
      <c r="G1032" s="56"/>
      <c r="H1032" s="53"/>
      <c r="I1032" s="53"/>
      <c r="J1032" s="53"/>
      <c r="K1032" s="53"/>
      <c r="L1032" s="53"/>
      <c r="M1032" s="53"/>
      <c r="N1032" s="53"/>
      <c r="O1032" s="54"/>
      <c r="P1032" s="44"/>
      <c r="Q1032" s="78"/>
      <c r="R1032" s="78"/>
      <c r="S1032" s="78"/>
    </row>
    <row r="1033" spans="1:19" ht="18.75">
      <c r="A1033" s="35"/>
      <c r="B1033" s="53" t="s">
        <v>153</v>
      </c>
      <c r="C1033" s="53"/>
      <c r="D1033" s="35"/>
      <c r="E1033" s="141" t="s">
        <v>222</v>
      </c>
      <c r="F1033" s="142"/>
      <c r="G1033" s="56"/>
      <c r="H1033" s="53"/>
      <c r="I1033" s="53"/>
      <c r="J1033" s="53"/>
      <c r="K1033" s="53"/>
      <c r="L1033" s="53"/>
      <c r="M1033" s="53"/>
      <c r="N1033" s="53"/>
      <c r="O1033" s="54"/>
      <c r="P1033" s="44"/>
      <c r="Q1033" s="78"/>
      <c r="R1033" s="78"/>
      <c r="S1033" s="78"/>
    </row>
    <row r="1034" spans="1:19" ht="18.75">
      <c r="A1034" s="35"/>
      <c r="B1034" s="53"/>
      <c r="C1034" s="53"/>
      <c r="D1034" s="35"/>
      <c r="E1034" s="94"/>
      <c r="F1034" s="56"/>
      <c r="G1034" s="56"/>
      <c r="H1034" s="53"/>
      <c r="I1034" s="53"/>
      <c r="J1034" s="53"/>
      <c r="K1034" s="53"/>
      <c r="L1034" s="53"/>
      <c r="M1034" s="53"/>
      <c r="N1034" s="53"/>
      <c r="O1034" s="54"/>
      <c r="P1034" s="44"/>
      <c r="Q1034" s="78"/>
      <c r="R1034" s="78"/>
      <c r="S1034" s="78"/>
    </row>
    <row r="1035" spans="1:19" ht="18.75">
      <c r="A1035" s="53"/>
      <c r="B1035" s="95" t="s">
        <v>435</v>
      </c>
      <c r="C1035" s="95"/>
      <c r="D1035" s="95"/>
      <c r="E1035" s="95"/>
      <c r="F1035" s="95"/>
      <c r="G1035" s="95"/>
      <c r="H1035" s="95"/>
      <c r="I1035" s="95"/>
      <c r="J1035" s="56"/>
      <c r="K1035" s="53"/>
      <c r="L1035" s="53"/>
      <c r="M1035" s="53"/>
      <c r="N1035" s="53"/>
      <c r="O1035" s="56"/>
      <c r="P1035" s="44"/>
      <c r="Q1035" s="78"/>
      <c r="R1035" s="78"/>
      <c r="S1035" s="78"/>
    </row>
    <row r="1036" spans="1:19" ht="18.75">
      <c r="A1036" s="53"/>
      <c r="B1036" s="53"/>
      <c r="C1036" s="53"/>
      <c r="D1036" s="53"/>
      <c r="E1036" s="53"/>
      <c r="F1036" s="56"/>
      <c r="G1036" s="56"/>
      <c r="H1036" s="56"/>
      <c r="I1036" s="56"/>
      <c r="J1036" s="56"/>
      <c r="K1036" s="53"/>
      <c r="L1036" s="53"/>
      <c r="M1036" s="53"/>
      <c r="N1036" s="53"/>
      <c r="O1036" s="56"/>
      <c r="P1036" s="44"/>
      <c r="Q1036" s="78"/>
      <c r="R1036" s="78"/>
      <c r="S1036" s="78"/>
    </row>
    <row r="1037" spans="1:19" ht="93.75">
      <c r="A1037" s="107" t="s">
        <v>155</v>
      </c>
      <c r="B1037" s="216" t="s">
        <v>156</v>
      </c>
      <c r="C1037" s="217"/>
      <c r="D1037" s="218"/>
      <c r="E1037" s="100" t="s">
        <v>168</v>
      </c>
      <c r="F1037" s="216" t="s">
        <v>249</v>
      </c>
      <c r="G1037" s="218"/>
      <c r="H1037" s="216" t="s">
        <v>250</v>
      </c>
      <c r="I1037" s="218"/>
      <c r="J1037" s="100" t="s">
        <v>251</v>
      </c>
      <c r="K1037" s="100" t="s">
        <v>177</v>
      </c>
      <c r="L1037" s="53"/>
      <c r="M1037" s="53"/>
      <c r="N1037" s="53"/>
      <c r="O1037" s="56"/>
      <c r="P1037" s="44"/>
      <c r="Q1037" s="78"/>
      <c r="R1037" s="78"/>
      <c r="S1037" s="78"/>
    </row>
    <row r="1038" spans="1:19" ht="18.75">
      <c r="A1038" s="103">
        <v>1</v>
      </c>
      <c r="B1038" s="207">
        <v>2</v>
      </c>
      <c r="C1038" s="219"/>
      <c r="D1038" s="208"/>
      <c r="E1038" s="103">
        <v>3</v>
      </c>
      <c r="F1038" s="207">
        <v>4</v>
      </c>
      <c r="G1038" s="208"/>
      <c r="H1038" s="207">
        <v>5</v>
      </c>
      <c r="I1038" s="208"/>
      <c r="J1038" s="103">
        <v>6</v>
      </c>
      <c r="K1038" s="103">
        <v>7</v>
      </c>
      <c r="L1038" s="53"/>
      <c r="M1038" s="53"/>
      <c r="N1038" s="53"/>
      <c r="O1038" s="56"/>
      <c r="P1038" s="44"/>
      <c r="Q1038" s="78" t="s">
        <v>311</v>
      </c>
      <c r="R1038" s="78">
        <f>Q1039</f>
        <v>91326</v>
      </c>
      <c r="S1038" s="78"/>
    </row>
    <row r="1039" spans="1:19" ht="92.25" customHeight="1">
      <c r="A1039" s="107">
        <v>1</v>
      </c>
      <c r="B1039" s="204" t="s">
        <v>252</v>
      </c>
      <c r="C1039" s="205"/>
      <c r="D1039" s="206"/>
      <c r="E1039" s="107">
        <v>226</v>
      </c>
      <c r="F1039" s="207">
        <v>527</v>
      </c>
      <c r="G1039" s="208"/>
      <c r="H1039" s="207">
        <v>6</v>
      </c>
      <c r="I1039" s="208"/>
      <c r="J1039" s="109">
        <v>164</v>
      </c>
      <c r="K1039" s="109">
        <f>238200-49600</f>
        <v>188600</v>
      </c>
      <c r="L1039" s="53"/>
      <c r="M1039" s="53"/>
      <c r="N1039" s="53"/>
      <c r="O1039" s="56"/>
      <c r="P1039" s="44"/>
      <c r="Q1039" s="78">
        <v>91326</v>
      </c>
      <c r="R1039" s="78">
        <f>K1039-Q1039</f>
        <v>97274</v>
      </c>
      <c r="S1039" s="78"/>
    </row>
    <row r="1040" spans="1:19" ht="18.75">
      <c r="A1040" s="107"/>
      <c r="B1040" s="207" t="s">
        <v>130</v>
      </c>
      <c r="C1040" s="219"/>
      <c r="D1040" s="208"/>
      <c r="E1040" s="107"/>
      <c r="F1040" s="207" t="s">
        <v>172</v>
      </c>
      <c r="G1040" s="208"/>
      <c r="H1040" s="207" t="s">
        <v>172</v>
      </c>
      <c r="I1040" s="208"/>
      <c r="J1040" s="107" t="s">
        <v>172</v>
      </c>
      <c r="K1040" s="131">
        <f>SUM(K1039:K1039)</f>
        <v>188600</v>
      </c>
      <c r="L1040" s="53"/>
      <c r="M1040" s="53"/>
      <c r="N1040" s="53"/>
      <c r="O1040" s="56"/>
      <c r="P1040" s="44"/>
      <c r="Q1040" s="78"/>
      <c r="R1040" s="78"/>
      <c r="S1040" s="78"/>
    </row>
    <row r="1041" spans="1:19" ht="18.75">
      <c r="A1041" s="35"/>
      <c r="B1041" s="53"/>
      <c r="C1041" s="53"/>
      <c r="D1041" s="35"/>
      <c r="E1041" s="94"/>
      <c r="F1041" s="56"/>
      <c r="G1041" s="56"/>
      <c r="H1041" s="53"/>
      <c r="I1041" s="53"/>
      <c r="J1041" s="53"/>
      <c r="K1041" s="53"/>
      <c r="L1041" s="53"/>
      <c r="M1041" s="53"/>
      <c r="N1041" s="53"/>
      <c r="O1041" s="54"/>
      <c r="P1041" s="44"/>
      <c r="Q1041" s="78"/>
      <c r="R1041" s="78"/>
      <c r="S1041" s="78"/>
    </row>
    <row r="1042" spans="1:19" ht="18.75">
      <c r="A1042" s="53"/>
      <c r="B1042" s="95" t="s">
        <v>436</v>
      </c>
      <c r="C1042" s="95"/>
      <c r="D1042" s="95"/>
      <c r="E1042" s="95"/>
      <c r="F1042" s="95"/>
      <c r="G1042" s="95"/>
      <c r="H1042" s="95"/>
      <c r="I1042" s="95"/>
      <c r="J1042" s="56"/>
      <c r="K1042" s="53"/>
      <c r="L1042" s="53"/>
      <c r="M1042" s="53"/>
      <c r="N1042" s="53"/>
      <c r="O1042" s="54"/>
      <c r="P1042" s="44"/>
      <c r="Q1042" s="78"/>
      <c r="R1042" s="78"/>
      <c r="S1042" s="78"/>
    </row>
    <row r="1043" spans="1:19" ht="18.75">
      <c r="A1043" s="53"/>
      <c r="B1043" s="53"/>
      <c r="C1043" s="53"/>
      <c r="D1043" s="53"/>
      <c r="E1043" s="53"/>
      <c r="F1043" s="56"/>
      <c r="G1043" s="56"/>
      <c r="H1043" s="56"/>
      <c r="I1043" s="56"/>
      <c r="J1043" s="56"/>
      <c r="K1043" s="53"/>
      <c r="L1043" s="53"/>
      <c r="M1043" s="53"/>
      <c r="N1043" s="53"/>
      <c r="O1043" s="54"/>
      <c r="P1043" s="44"/>
      <c r="Q1043" s="78"/>
      <c r="R1043" s="78"/>
      <c r="S1043" s="78"/>
    </row>
    <row r="1044" spans="1:16" ht="93.75">
      <c r="A1044" s="107" t="s">
        <v>155</v>
      </c>
      <c r="B1044" s="216" t="s">
        <v>156</v>
      </c>
      <c r="C1044" s="217"/>
      <c r="D1044" s="218"/>
      <c r="E1044" s="100" t="s">
        <v>168</v>
      </c>
      <c r="F1044" s="216" t="s">
        <v>369</v>
      </c>
      <c r="G1044" s="218"/>
      <c r="H1044" s="100" t="s">
        <v>177</v>
      </c>
      <c r="I1044" s="53"/>
      <c r="J1044" s="53"/>
      <c r="K1044" s="53"/>
      <c r="L1044" s="54"/>
      <c r="M1044" s="44"/>
      <c r="N1044" s="143"/>
      <c r="O1044" s="143"/>
      <c r="P1044" s="78"/>
    </row>
    <row r="1045" spans="1:18" ht="18.75">
      <c r="A1045" s="103">
        <v>1</v>
      </c>
      <c r="B1045" s="207">
        <v>2</v>
      </c>
      <c r="C1045" s="219"/>
      <c r="D1045" s="208"/>
      <c r="E1045" s="103">
        <v>3</v>
      </c>
      <c r="F1045" s="207">
        <v>4</v>
      </c>
      <c r="G1045" s="208"/>
      <c r="H1045" s="103">
        <v>5</v>
      </c>
      <c r="I1045" s="53"/>
      <c r="J1045" s="53"/>
      <c r="K1045" s="53"/>
      <c r="L1045" s="54"/>
      <c r="M1045" s="44"/>
      <c r="N1045" s="143"/>
      <c r="O1045" s="143"/>
      <c r="P1045" s="78">
        <f>O1046</f>
        <v>0</v>
      </c>
      <c r="Q1045" s="78" t="s">
        <v>311</v>
      </c>
      <c r="R1045" s="78">
        <f>Q1046</f>
        <v>48235</v>
      </c>
    </row>
    <row r="1046" spans="1:19" ht="99.75" customHeight="1">
      <c r="A1046" s="107">
        <v>1</v>
      </c>
      <c r="B1046" s="204" t="s">
        <v>253</v>
      </c>
      <c r="C1046" s="205"/>
      <c r="D1046" s="206"/>
      <c r="E1046" s="107">
        <v>226</v>
      </c>
      <c r="F1046" s="207">
        <v>1</v>
      </c>
      <c r="G1046" s="208"/>
      <c r="H1046" s="109">
        <v>151400</v>
      </c>
      <c r="I1046" s="53"/>
      <c r="J1046" s="53"/>
      <c r="K1046" s="53"/>
      <c r="L1046" s="54"/>
      <c r="M1046" s="44"/>
      <c r="N1046" s="143"/>
      <c r="O1046" s="143"/>
      <c r="P1046" s="78">
        <f>H1046-O1046</f>
        <v>151400</v>
      </c>
      <c r="Q1046" s="78">
        <v>48235</v>
      </c>
      <c r="R1046" s="78">
        <f>H1046-Q1046</f>
        <v>103165</v>
      </c>
      <c r="S1046" s="80"/>
    </row>
    <row r="1047" spans="1:16" ht="18.75">
      <c r="A1047" s="107"/>
      <c r="B1047" s="207" t="s">
        <v>130</v>
      </c>
      <c r="C1047" s="219"/>
      <c r="D1047" s="208"/>
      <c r="E1047" s="107"/>
      <c r="F1047" s="207" t="s">
        <v>172</v>
      </c>
      <c r="G1047" s="208"/>
      <c r="H1047" s="131">
        <f>SUM(H1046:H1046)</f>
        <v>151400</v>
      </c>
      <c r="I1047" s="53"/>
      <c r="J1047" s="53"/>
      <c r="K1047" s="53"/>
      <c r="L1047" s="54"/>
      <c r="M1047" s="44"/>
      <c r="N1047" s="143"/>
      <c r="O1047" s="143"/>
      <c r="P1047" s="78"/>
    </row>
    <row r="1048" spans="1:19" ht="18.75">
      <c r="A1048" s="35"/>
      <c r="B1048" s="53"/>
      <c r="C1048" s="53"/>
      <c r="D1048" s="35"/>
      <c r="E1048" s="94"/>
      <c r="F1048" s="56"/>
      <c r="G1048" s="56"/>
      <c r="H1048" s="53"/>
      <c r="I1048" s="53"/>
      <c r="J1048" s="53"/>
      <c r="K1048" s="53"/>
      <c r="L1048" s="53"/>
      <c r="M1048" s="53"/>
      <c r="N1048" s="53"/>
      <c r="O1048" s="54"/>
      <c r="P1048" s="44"/>
      <c r="Q1048" s="78"/>
      <c r="R1048" s="78"/>
      <c r="S1048" s="78"/>
    </row>
    <row r="1049" spans="1:19" ht="18.75" hidden="1">
      <c r="A1049" s="53"/>
      <c r="B1049" s="95" t="s">
        <v>342</v>
      </c>
      <c r="C1049" s="95"/>
      <c r="D1049" s="95"/>
      <c r="E1049" s="95"/>
      <c r="F1049" s="95"/>
      <c r="G1049" s="95"/>
      <c r="H1049" s="95"/>
      <c r="I1049" s="95"/>
      <c r="J1049" s="56"/>
      <c r="K1049" s="53"/>
      <c r="L1049" s="53"/>
      <c r="M1049" s="53"/>
      <c r="N1049" s="53"/>
      <c r="O1049" s="54"/>
      <c r="P1049" s="44"/>
      <c r="Q1049" s="78"/>
      <c r="R1049" s="78"/>
      <c r="S1049" s="78"/>
    </row>
    <row r="1050" spans="1:19" ht="18.75" hidden="1">
      <c r="A1050" s="53"/>
      <c r="B1050" s="53"/>
      <c r="C1050" s="53"/>
      <c r="D1050" s="53"/>
      <c r="E1050" s="53"/>
      <c r="F1050" s="56"/>
      <c r="G1050" s="56"/>
      <c r="H1050" s="56"/>
      <c r="I1050" s="56"/>
      <c r="J1050" s="56"/>
      <c r="K1050" s="53"/>
      <c r="L1050" s="53"/>
      <c r="M1050" s="53"/>
      <c r="N1050" s="53"/>
      <c r="O1050" s="54"/>
      <c r="P1050" s="44"/>
      <c r="Q1050" s="78"/>
      <c r="R1050" s="78"/>
      <c r="S1050" s="78"/>
    </row>
    <row r="1051" spans="1:19" ht="93.75" hidden="1">
      <c r="A1051" s="107" t="s">
        <v>155</v>
      </c>
      <c r="B1051" s="216" t="s">
        <v>156</v>
      </c>
      <c r="C1051" s="217"/>
      <c r="D1051" s="218"/>
      <c r="E1051" s="100" t="s">
        <v>168</v>
      </c>
      <c r="F1051" s="216" t="s">
        <v>249</v>
      </c>
      <c r="G1051" s="218"/>
      <c r="H1051" s="100" t="s">
        <v>177</v>
      </c>
      <c r="I1051" s="53"/>
      <c r="J1051" s="53"/>
      <c r="K1051" s="53"/>
      <c r="L1051" s="54"/>
      <c r="M1051" s="44"/>
      <c r="N1051" s="35"/>
      <c r="O1051" s="35"/>
      <c r="P1051" s="1"/>
      <c r="Q1051" s="78"/>
      <c r="R1051" s="78"/>
      <c r="S1051" s="78"/>
    </row>
    <row r="1052" spans="1:19" ht="18.75" hidden="1">
      <c r="A1052" s="103">
        <v>1</v>
      </c>
      <c r="B1052" s="207">
        <v>2</v>
      </c>
      <c r="C1052" s="219"/>
      <c r="D1052" s="208"/>
      <c r="E1052" s="103">
        <v>3</v>
      </c>
      <c r="F1052" s="207">
        <v>4</v>
      </c>
      <c r="G1052" s="208"/>
      <c r="H1052" s="103">
        <v>5</v>
      </c>
      <c r="I1052" s="53"/>
      <c r="J1052" s="53"/>
      <c r="K1052" s="53"/>
      <c r="L1052" s="54"/>
      <c r="M1052" s="44"/>
      <c r="N1052" s="35"/>
      <c r="O1052" s="35"/>
      <c r="P1052" s="1"/>
      <c r="Q1052" s="78" t="s">
        <v>311</v>
      </c>
      <c r="R1052" s="78">
        <f>Q1053</f>
        <v>0</v>
      </c>
      <c r="S1052" s="78"/>
    </row>
    <row r="1053" spans="1:19" ht="66.75" customHeight="1" hidden="1">
      <c r="A1053" s="107">
        <v>1</v>
      </c>
      <c r="B1053" s="204" t="s">
        <v>254</v>
      </c>
      <c r="C1053" s="205"/>
      <c r="D1053" s="206"/>
      <c r="E1053" s="107">
        <v>226</v>
      </c>
      <c r="F1053" s="207">
        <v>110</v>
      </c>
      <c r="G1053" s="208"/>
      <c r="H1053" s="109">
        <f>200200-200200</f>
        <v>0</v>
      </c>
      <c r="I1053" s="53"/>
      <c r="J1053" s="53"/>
      <c r="K1053" s="53"/>
      <c r="L1053" s="54"/>
      <c r="M1053" s="44"/>
      <c r="N1053" s="35"/>
      <c r="O1053" s="35"/>
      <c r="P1053" s="1"/>
      <c r="Q1053" s="78">
        <v>0</v>
      </c>
      <c r="R1053" s="78">
        <f>H1053-Q1053</f>
        <v>0</v>
      </c>
      <c r="S1053" s="78"/>
    </row>
    <row r="1054" spans="1:19" ht="18.75" hidden="1">
      <c r="A1054" s="107"/>
      <c r="B1054" s="207" t="s">
        <v>130</v>
      </c>
      <c r="C1054" s="219"/>
      <c r="D1054" s="208"/>
      <c r="E1054" s="107"/>
      <c r="F1054" s="207" t="s">
        <v>172</v>
      </c>
      <c r="G1054" s="208"/>
      <c r="H1054" s="131">
        <f>SUM(H1053:H1053)</f>
        <v>0</v>
      </c>
      <c r="I1054" s="53"/>
      <c r="J1054" s="53"/>
      <c r="K1054" s="53"/>
      <c r="L1054" s="54"/>
      <c r="M1054" s="44"/>
      <c r="N1054" s="35"/>
      <c r="O1054" s="35"/>
      <c r="P1054" s="1"/>
      <c r="Q1054" s="78"/>
      <c r="R1054" s="78"/>
      <c r="S1054" s="78"/>
    </row>
    <row r="1055" spans="1:19" ht="18.75" hidden="1">
      <c r="A1055" s="35"/>
      <c r="B1055" s="53"/>
      <c r="C1055" s="53"/>
      <c r="D1055" s="35"/>
      <c r="E1055" s="94"/>
      <c r="F1055" s="56"/>
      <c r="G1055" s="56"/>
      <c r="H1055" s="53"/>
      <c r="I1055" s="53"/>
      <c r="J1055" s="53"/>
      <c r="K1055" s="53"/>
      <c r="L1055" s="53"/>
      <c r="M1055" s="53"/>
      <c r="N1055" s="53"/>
      <c r="O1055" s="54"/>
      <c r="P1055" s="44"/>
      <c r="Q1055" s="78"/>
      <c r="R1055" s="78"/>
      <c r="S1055" s="78"/>
    </row>
    <row r="1056" spans="1:19" ht="18.75">
      <c r="A1056" s="53"/>
      <c r="B1056" s="95" t="s">
        <v>437</v>
      </c>
      <c r="C1056" s="95"/>
      <c r="D1056" s="95"/>
      <c r="E1056" s="95"/>
      <c r="F1056" s="95"/>
      <c r="G1056" s="95"/>
      <c r="H1056" s="95"/>
      <c r="I1056" s="95"/>
      <c r="J1056" s="56"/>
      <c r="K1056" s="53"/>
      <c r="L1056" s="53"/>
      <c r="M1056" s="53"/>
      <c r="N1056" s="53"/>
      <c r="O1056" s="54"/>
      <c r="P1056" s="44"/>
      <c r="Q1056" s="78"/>
      <c r="R1056" s="78"/>
      <c r="S1056" s="78"/>
    </row>
    <row r="1057" spans="1:19" ht="18.75">
      <c r="A1057" s="53"/>
      <c r="B1057" s="53"/>
      <c r="C1057" s="53"/>
      <c r="D1057" s="53"/>
      <c r="E1057" s="53"/>
      <c r="F1057" s="56"/>
      <c r="G1057" s="56"/>
      <c r="H1057" s="56"/>
      <c r="I1057" s="56"/>
      <c r="J1057" s="56"/>
      <c r="K1057" s="53"/>
      <c r="L1057" s="53"/>
      <c r="M1057" s="53"/>
      <c r="N1057" s="53"/>
      <c r="O1057" s="54"/>
      <c r="P1057" s="44"/>
      <c r="Q1057" s="78"/>
      <c r="R1057" s="78"/>
      <c r="S1057" s="78"/>
    </row>
    <row r="1058" spans="1:16" ht="93.75">
      <c r="A1058" s="107" t="s">
        <v>155</v>
      </c>
      <c r="B1058" s="216" t="s">
        <v>156</v>
      </c>
      <c r="C1058" s="217"/>
      <c r="D1058" s="218"/>
      <c r="E1058" s="100" t="s">
        <v>168</v>
      </c>
      <c r="F1058" s="216" t="s">
        <v>369</v>
      </c>
      <c r="G1058" s="218"/>
      <c r="H1058" s="100" t="s">
        <v>177</v>
      </c>
      <c r="I1058" s="53"/>
      <c r="J1058" s="53"/>
      <c r="K1058" s="53"/>
      <c r="L1058" s="54"/>
      <c r="M1058" s="44"/>
      <c r="N1058" s="143"/>
      <c r="O1058" s="143"/>
      <c r="P1058" s="78"/>
    </row>
    <row r="1059" spans="1:18" ht="18.75">
      <c r="A1059" s="103">
        <v>1</v>
      </c>
      <c r="B1059" s="207">
        <v>2</v>
      </c>
      <c r="C1059" s="219"/>
      <c r="D1059" s="208"/>
      <c r="E1059" s="103">
        <v>3</v>
      </c>
      <c r="F1059" s="207">
        <v>4</v>
      </c>
      <c r="G1059" s="208"/>
      <c r="H1059" s="103">
        <v>5</v>
      </c>
      <c r="I1059" s="53"/>
      <c r="J1059" s="53"/>
      <c r="K1059" s="53"/>
      <c r="L1059" s="54"/>
      <c r="M1059" s="44"/>
      <c r="N1059" s="143"/>
      <c r="O1059" s="143"/>
      <c r="P1059" s="78">
        <f>O1061+O1062</f>
        <v>0</v>
      </c>
      <c r="Q1059" s="78" t="s">
        <v>311</v>
      </c>
      <c r="R1059" s="78">
        <f>Q1061+Q1062+Q1060</f>
        <v>436306.46</v>
      </c>
    </row>
    <row r="1060" spans="1:18" ht="110.25" customHeight="1">
      <c r="A1060" s="107">
        <v>1</v>
      </c>
      <c r="B1060" s="204" t="s">
        <v>408</v>
      </c>
      <c r="C1060" s="205"/>
      <c r="D1060" s="206"/>
      <c r="E1060" s="107">
        <v>226</v>
      </c>
      <c r="F1060" s="207">
        <v>1</v>
      </c>
      <c r="G1060" s="208"/>
      <c r="H1060" s="109">
        <f>29386.14-29386.14</f>
        <v>0</v>
      </c>
      <c r="I1060" s="53"/>
      <c r="J1060" s="53"/>
      <c r="K1060" s="53"/>
      <c r="L1060" s="54"/>
      <c r="M1060" s="44"/>
      <c r="N1060" s="143"/>
      <c r="O1060" s="143"/>
      <c r="P1060" s="78">
        <f>H1060-O1060</f>
        <v>0</v>
      </c>
      <c r="Q1060" s="78"/>
      <c r="R1060" s="78">
        <f>H1060-Q1060</f>
        <v>0</v>
      </c>
    </row>
    <row r="1061" spans="1:19" ht="91.5" customHeight="1">
      <c r="A1061" s="107">
        <v>2</v>
      </c>
      <c r="B1061" s="204" t="s">
        <v>346</v>
      </c>
      <c r="C1061" s="205"/>
      <c r="D1061" s="206"/>
      <c r="E1061" s="107">
        <v>226</v>
      </c>
      <c r="F1061" s="207">
        <v>1</v>
      </c>
      <c r="G1061" s="208"/>
      <c r="H1061" s="109">
        <v>338100</v>
      </c>
      <c r="I1061" s="53"/>
      <c r="J1061" s="53"/>
      <c r="K1061" s="53"/>
      <c r="L1061" s="54"/>
      <c r="M1061" s="44"/>
      <c r="N1061" s="143"/>
      <c r="O1061" s="143"/>
      <c r="P1061" s="78">
        <f>H1061-O1061</f>
        <v>338100</v>
      </c>
      <c r="Q1061" s="78">
        <v>98297.46</v>
      </c>
      <c r="R1061" s="78">
        <f>H1061-Q1061</f>
        <v>239802.53999999998</v>
      </c>
      <c r="S1061" s="8"/>
    </row>
    <row r="1062" spans="1:19" ht="91.5" customHeight="1">
      <c r="A1062" s="107">
        <v>3</v>
      </c>
      <c r="B1062" s="204" t="s">
        <v>370</v>
      </c>
      <c r="C1062" s="205"/>
      <c r="D1062" s="206"/>
      <c r="E1062" s="107">
        <v>226</v>
      </c>
      <c r="F1062" s="207">
        <v>1</v>
      </c>
      <c r="G1062" s="208"/>
      <c r="H1062" s="109">
        <f>550000+669100-50000</f>
        <v>1169100</v>
      </c>
      <c r="I1062" s="53"/>
      <c r="J1062" s="53"/>
      <c r="K1062" s="53"/>
      <c r="L1062" s="54"/>
      <c r="M1062" s="44"/>
      <c r="N1062" s="143"/>
      <c r="O1062" s="143"/>
      <c r="P1062" s="78">
        <f>H1062-O1062</f>
        <v>1169100</v>
      </c>
      <c r="Q1062" s="78">
        <v>338009</v>
      </c>
      <c r="R1062" s="78">
        <f>H1062-Q1062</f>
        <v>831091</v>
      </c>
      <c r="S1062" s="8"/>
    </row>
    <row r="1063" spans="1:16" ht="18.75">
      <c r="A1063" s="107"/>
      <c r="B1063" s="207" t="s">
        <v>130</v>
      </c>
      <c r="C1063" s="219"/>
      <c r="D1063" s="208"/>
      <c r="E1063" s="107"/>
      <c r="F1063" s="207" t="s">
        <v>172</v>
      </c>
      <c r="G1063" s="208"/>
      <c r="H1063" s="131">
        <f>SUM(H1060:H1062)</f>
        <v>1507200</v>
      </c>
      <c r="I1063" s="53"/>
      <c r="J1063" s="53"/>
      <c r="K1063" s="53"/>
      <c r="L1063" s="54"/>
      <c r="M1063" s="44"/>
      <c r="N1063" s="143"/>
      <c r="O1063" s="143"/>
      <c r="P1063" s="78"/>
    </row>
    <row r="1064" spans="1:19" ht="18.75">
      <c r="A1064" s="35"/>
      <c r="B1064" s="53"/>
      <c r="C1064" s="53"/>
      <c r="D1064" s="35"/>
      <c r="E1064" s="94"/>
      <c r="F1064" s="56"/>
      <c r="G1064" s="56"/>
      <c r="H1064" s="53"/>
      <c r="I1064" s="53"/>
      <c r="J1064" s="53"/>
      <c r="K1064" s="53"/>
      <c r="L1064" s="53"/>
      <c r="M1064" s="53"/>
      <c r="N1064" s="53"/>
      <c r="O1064" s="54"/>
      <c r="P1064" s="44"/>
      <c r="Q1064" s="78"/>
      <c r="R1064" s="78"/>
      <c r="S1064" s="78"/>
    </row>
    <row r="1065" spans="1:19" ht="18.75">
      <c r="A1065" s="53"/>
      <c r="B1065" s="95" t="s">
        <v>531</v>
      </c>
      <c r="C1065" s="95"/>
      <c r="D1065" s="95"/>
      <c r="E1065" s="95"/>
      <c r="F1065" s="95"/>
      <c r="G1065" s="95"/>
      <c r="H1065" s="95"/>
      <c r="I1065" s="95"/>
      <c r="J1065" s="56"/>
      <c r="K1065" s="53"/>
      <c r="L1065" s="53"/>
      <c r="M1065" s="53"/>
      <c r="N1065" s="53"/>
      <c r="O1065" s="56"/>
      <c r="P1065" s="44"/>
      <c r="Q1065" s="78"/>
      <c r="R1065" s="78"/>
      <c r="S1065" s="78"/>
    </row>
    <row r="1066" spans="1:19" ht="18.75">
      <c r="A1066" s="53"/>
      <c r="B1066" s="53"/>
      <c r="C1066" s="53"/>
      <c r="D1066" s="53"/>
      <c r="E1066" s="53"/>
      <c r="F1066" s="56"/>
      <c r="G1066" s="56"/>
      <c r="H1066" s="56"/>
      <c r="I1066" s="56"/>
      <c r="J1066" s="56"/>
      <c r="K1066" s="53"/>
      <c r="L1066" s="53"/>
      <c r="M1066" s="53"/>
      <c r="N1066" s="53"/>
      <c r="O1066" s="56"/>
      <c r="P1066" s="44"/>
      <c r="Q1066" s="78"/>
      <c r="R1066" s="78"/>
      <c r="S1066" s="78"/>
    </row>
    <row r="1067" spans="1:16" ht="93.75">
      <c r="A1067" s="107" t="s">
        <v>155</v>
      </c>
      <c r="B1067" s="216" t="s">
        <v>156</v>
      </c>
      <c r="C1067" s="217"/>
      <c r="D1067" s="218"/>
      <c r="E1067" s="100" t="s">
        <v>168</v>
      </c>
      <c r="F1067" s="216" t="s">
        <v>369</v>
      </c>
      <c r="G1067" s="218"/>
      <c r="H1067" s="100" t="s">
        <v>177</v>
      </c>
      <c r="I1067" s="53"/>
      <c r="J1067" s="53"/>
      <c r="K1067" s="53"/>
      <c r="L1067" s="56"/>
      <c r="M1067" s="44"/>
      <c r="N1067" s="143"/>
      <c r="O1067" s="143"/>
      <c r="P1067" s="78"/>
    </row>
    <row r="1068" spans="1:18" ht="18.75">
      <c r="A1068" s="103">
        <v>1</v>
      </c>
      <c r="B1068" s="207">
        <v>2</v>
      </c>
      <c r="C1068" s="219"/>
      <c r="D1068" s="208"/>
      <c r="E1068" s="103">
        <v>3</v>
      </c>
      <c r="F1068" s="207">
        <v>4</v>
      </c>
      <c r="G1068" s="208"/>
      <c r="H1068" s="103">
        <v>5</v>
      </c>
      <c r="I1068" s="53"/>
      <c r="J1068" s="53"/>
      <c r="K1068" s="53"/>
      <c r="L1068" s="56"/>
      <c r="M1068" s="44"/>
      <c r="N1068" s="143"/>
      <c r="O1068" s="143"/>
      <c r="P1068" s="78"/>
      <c r="Q1068" s="78" t="s">
        <v>311</v>
      </c>
      <c r="R1068" s="78">
        <f>Q1069</f>
        <v>25200</v>
      </c>
    </row>
    <row r="1069" spans="1:18" ht="99.75" customHeight="1">
      <c r="A1069" s="107">
        <v>1</v>
      </c>
      <c r="B1069" s="204" t="s">
        <v>532</v>
      </c>
      <c r="C1069" s="205"/>
      <c r="D1069" s="206"/>
      <c r="E1069" s="107">
        <v>226</v>
      </c>
      <c r="F1069" s="207">
        <v>1</v>
      </c>
      <c r="G1069" s="208"/>
      <c r="H1069" s="109">
        <f>854700-396150-80550-65600+12730</f>
        <v>325130</v>
      </c>
      <c r="I1069" s="53"/>
      <c r="J1069" s="53"/>
      <c r="K1069" s="53"/>
      <c r="L1069" s="56"/>
      <c r="M1069" s="44"/>
      <c r="N1069" s="143"/>
      <c r="O1069" s="143"/>
      <c r="P1069" s="78"/>
      <c r="Q1069" s="78">
        <v>25200</v>
      </c>
      <c r="R1069" s="78">
        <f>H1069-Q1069</f>
        <v>299930</v>
      </c>
    </row>
    <row r="1070" spans="1:16" ht="18.75">
      <c r="A1070" s="107"/>
      <c r="B1070" s="207" t="s">
        <v>130</v>
      </c>
      <c r="C1070" s="219"/>
      <c r="D1070" s="208"/>
      <c r="E1070" s="107"/>
      <c r="F1070" s="207" t="s">
        <v>172</v>
      </c>
      <c r="G1070" s="208"/>
      <c r="H1070" s="131">
        <f>SUM(H1069:H1069)</f>
        <v>325130</v>
      </c>
      <c r="I1070" s="53"/>
      <c r="J1070" s="53"/>
      <c r="K1070" s="53"/>
      <c r="L1070" s="56"/>
      <c r="M1070" s="44"/>
      <c r="N1070" s="143"/>
      <c r="O1070" s="143"/>
      <c r="P1070" s="78"/>
    </row>
    <row r="1071" spans="1:19" ht="18.75">
      <c r="A1071" s="35"/>
      <c r="B1071" s="53"/>
      <c r="C1071" s="53"/>
      <c r="D1071" s="35"/>
      <c r="E1071" s="94"/>
      <c r="F1071" s="56"/>
      <c r="G1071" s="56"/>
      <c r="H1071" s="53"/>
      <c r="I1071" s="53"/>
      <c r="J1071" s="53"/>
      <c r="K1071" s="53"/>
      <c r="L1071" s="53"/>
      <c r="M1071" s="53"/>
      <c r="N1071" s="53"/>
      <c r="O1071" s="54"/>
      <c r="P1071" s="44"/>
      <c r="Q1071" s="78"/>
      <c r="R1071" s="78"/>
      <c r="S1071" s="78"/>
    </row>
    <row r="1072" spans="1:19" ht="18.75">
      <c r="A1072" s="157"/>
      <c r="B1072" s="153" t="s">
        <v>530</v>
      </c>
      <c r="C1072" s="153"/>
      <c r="D1072" s="153"/>
      <c r="E1072" s="153"/>
      <c r="F1072" s="153"/>
      <c r="G1072" s="153"/>
      <c r="H1072" s="153"/>
      <c r="I1072" s="153"/>
      <c r="J1072" s="153"/>
      <c r="K1072" s="153"/>
      <c r="L1072" s="157"/>
      <c r="M1072" s="53"/>
      <c r="N1072" s="53"/>
      <c r="O1072" s="54"/>
      <c r="P1072" s="44"/>
      <c r="Q1072" s="78"/>
      <c r="R1072" s="78"/>
      <c r="S1072" s="78"/>
    </row>
    <row r="1073" spans="1:19" ht="18.75">
      <c r="A1073" s="157"/>
      <c r="B1073" s="157"/>
      <c r="C1073" s="158"/>
      <c r="D1073" s="158"/>
      <c r="E1073" s="158"/>
      <c r="F1073" s="158"/>
      <c r="G1073" s="157"/>
      <c r="H1073" s="157"/>
      <c r="I1073" s="157"/>
      <c r="J1073" s="157"/>
      <c r="K1073" s="157"/>
      <c r="L1073" s="157"/>
      <c r="M1073" s="53"/>
      <c r="N1073" s="53"/>
      <c r="O1073" s="54"/>
      <c r="P1073" s="44"/>
      <c r="Q1073" s="78"/>
      <c r="R1073" s="78"/>
      <c r="S1073" s="78"/>
    </row>
    <row r="1074" spans="1:19" ht="93.75">
      <c r="A1074" s="49" t="s">
        <v>155</v>
      </c>
      <c r="B1074" s="260" t="s">
        <v>0</v>
      </c>
      <c r="C1074" s="260"/>
      <c r="D1074" s="260"/>
      <c r="E1074" s="188" t="s">
        <v>168</v>
      </c>
      <c r="F1074" s="260" t="s">
        <v>286</v>
      </c>
      <c r="G1074" s="260"/>
      <c r="H1074" s="188" t="s">
        <v>369</v>
      </c>
      <c r="I1074" s="232" t="s">
        <v>187</v>
      </c>
      <c r="J1074" s="233"/>
      <c r="K1074" s="53"/>
      <c r="L1074" s="53"/>
      <c r="M1074" s="53"/>
      <c r="N1074" s="53"/>
      <c r="O1074" s="54"/>
      <c r="P1074" s="44"/>
      <c r="Q1074" s="78"/>
      <c r="R1074" s="78"/>
      <c r="S1074" s="78"/>
    </row>
    <row r="1075" spans="1:19" ht="18.75">
      <c r="A1075" s="187">
        <v>1</v>
      </c>
      <c r="B1075" s="203">
        <v>2</v>
      </c>
      <c r="C1075" s="203"/>
      <c r="D1075" s="203"/>
      <c r="E1075" s="187">
        <v>3</v>
      </c>
      <c r="F1075" s="203">
        <v>4</v>
      </c>
      <c r="G1075" s="203"/>
      <c r="H1075" s="187">
        <v>5</v>
      </c>
      <c r="I1075" s="201">
        <v>6</v>
      </c>
      <c r="J1075" s="202"/>
      <c r="K1075" s="53"/>
      <c r="L1075" s="53"/>
      <c r="M1075" s="53"/>
      <c r="N1075" s="53"/>
      <c r="O1075" s="54"/>
      <c r="P1075" s="44"/>
      <c r="Q1075" s="78" t="s">
        <v>313</v>
      </c>
      <c r="R1075" s="78">
        <f>Q1076+Q1077+Q1078+Q1079+Q1080+Q1081</f>
        <v>84600</v>
      </c>
      <c r="S1075" s="78"/>
    </row>
    <row r="1076" spans="1:19" ht="153.75" customHeight="1">
      <c r="A1076" s="49"/>
      <c r="B1076" s="198" t="s">
        <v>409</v>
      </c>
      <c r="C1076" s="199"/>
      <c r="D1076" s="200"/>
      <c r="E1076" s="187"/>
      <c r="F1076" s="261"/>
      <c r="G1076" s="261"/>
      <c r="H1076" s="187"/>
      <c r="I1076" s="209"/>
      <c r="J1076" s="210"/>
      <c r="K1076" s="53"/>
      <c r="L1076" s="53"/>
      <c r="M1076" s="53"/>
      <c r="N1076" s="53"/>
      <c r="O1076" s="54"/>
      <c r="P1076" s="44"/>
      <c r="Q1076" s="78"/>
      <c r="R1076" s="78"/>
      <c r="S1076" s="78"/>
    </row>
    <row r="1077" spans="1:19" ht="48.75" customHeight="1">
      <c r="A1077" s="49">
        <v>1</v>
      </c>
      <c r="B1077" s="198" t="s">
        <v>552</v>
      </c>
      <c r="C1077" s="199"/>
      <c r="D1077" s="200"/>
      <c r="E1077" s="187">
        <v>310</v>
      </c>
      <c r="F1077" s="261">
        <f>I1077/H1077</f>
        <v>68000</v>
      </c>
      <c r="G1077" s="261"/>
      <c r="H1077" s="187">
        <v>1</v>
      </c>
      <c r="I1077" s="209">
        <v>68000</v>
      </c>
      <c r="J1077" s="210"/>
      <c r="K1077" s="53"/>
      <c r="L1077" s="53"/>
      <c r="M1077" s="53"/>
      <c r="N1077" s="53"/>
      <c r="O1077" s="54"/>
      <c r="P1077" s="78">
        <v>68000</v>
      </c>
      <c r="Q1077" s="78">
        <v>68000</v>
      </c>
      <c r="R1077" s="78">
        <f>I1077-Q1077</f>
        <v>0</v>
      </c>
      <c r="S1077" s="78"/>
    </row>
    <row r="1078" spans="1:19" ht="48.75" customHeight="1">
      <c r="A1078" s="49">
        <v>2</v>
      </c>
      <c r="B1078" s="198" t="s">
        <v>553</v>
      </c>
      <c r="C1078" s="199"/>
      <c r="D1078" s="200"/>
      <c r="E1078" s="187">
        <v>310</v>
      </c>
      <c r="F1078" s="261">
        <f>I1078/H1078</f>
        <v>4500</v>
      </c>
      <c r="G1078" s="261"/>
      <c r="H1078" s="187">
        <v>2</v>
      </c>
      <c r="I1078" s="209">
        <v>9000</v>
      </c>
      <c r="J1078" s="210"/>
      <c r="K1078" s="53"/>
      <c r="L1078" s="53"/>
      <c r="M1078" s="53"/>
      <c r="N1078" s="53"/>
      <c r="O1078" s="54"/>
      <c r="P1078" s="78">
        <v>9000</v>
      </c>
      <c r="Q1078" s="78">
        <v>9000</v>
      </c>
      <c r="R1078" s="78">
        <f>I1078-Q1078</f>
        <v>0</v>
      </c>
      <c r="S1078" s="78"/>
    </row>
    <row r="1079" spans="1:19" ht="48.75" customHeight="1">
      <c r="A1079" s="49">
        <v>3</v>
      </c>
      <c r="B1079" s="198" t="s">
        <v>554</v>
      </c>
      <c r="C1079" s="199"/>
      <c r="D1079" s="200"/>
      <c r="E1079" s="187">
        <v>345</v>
      </c>
      <c r="F1079" s="261">
        <f>I1079/H1079</f>
        <v>4050</v>
      </c>
      <c r="G1079" s="261"/>
      <c r="H1079" s="187">
        <v>1</v>
      </c>
      <c r="I1079" s="209">
        <v>4050</v>
      </c>
      <c r="J1079" s="210"/>
      <c r="K1079" s="53"/>
      <c r="L1079" s="53"/>
      <c r="M1079" s="53"/>
      <c r="N1079" s="53"/>
      <c r="O1079" s="54"/>
      <c r="P1079" s="78">
        <v>4050</v>
      </c>
      <c r="Q1079" s="78">
        <v>4050</v>
      </c>
      <c r="R1079" s="78">
        <f>I1079-Q1079</f>
        <v>0</v>
      </c>
      <c r="S1079" s="78"/>
    </row>
    <row r="1080" spans="1:19" ht="48.75" customHeight="1">
      <c r="A1080" s="49">
        <v>4</v>
      </c>
      <c r="B1080" s="198" t="s">
        <v>555</v>
      </c>
      <c r="C1080" s="199"/>
      <c r="D1080" s="200"/>
      <c r="E1080" s="187">
        <v>345</v>
      </c>
      <c r="F1080" s="261">
        <f>I1080/H1080</f>
        <v>3200</v>
      </c>
      <c r="G1080" s="261"/>
      <c r="H1080" s="187">
        <v>1</v>
      </c>
      <c r="I1080" s="209">
        <v>3200</v>
      </c>
      <c r="J1080" s="210"/>
      <c r="K1080" s="53"/>
      <c r="L1080" s="53"/>
      <c r="M1080" s="53"/>
      <c r="N1080" s="53"/>
      <c r="O1080" s="54"/>
      <c r="P1080" s="78">
        <v>3200</v>
      </c>
      <c r="Q1080" s="78">
        <v>3200</v>
      </c>
      <c r="R1080" s="78">
        <f>I1080-Q1080</f>
        <v>0</v>
      </c>
      <c r="S1080" s="78"/>
    </row>
    <row r="1081" spans="1:19" ht="37.5" customHeight="1">
      <c r="A1081" s="49">
        <v>5</v>
      </c>
      <c r="B1081" s="198" t="s">
        <v>556</v>
      </c>
      <c r="C1081" s="199"/>
      <c r="D1081" s="200"/>
      <c r="E1081" s="187">
        <v>346</v>
      </c>
      <c r="F1081" s="261">
        <f>I1081/H1081</f>
        <v>87.5</v>
      </c>
      <c r="G1081" s="261"/>
      <c r="H1081" s="187">
        <v>4</v>
      </c>
      <c r="I1081" s="209">
        <v>350</v>
      </c>
      <c r="J1081" s="210"/>
      <c r="K1081" s="53"/>
      <c r="L1081" s="53"/>
      <c r="M1081" s="53"/>
      <c r="N1081" s="53"/>
      <c r="O1081" s="54"/>
      <c r="P1081" s="78">
        <v>350</v>
      </c>
      <c r="Q1081" s="78">
        <v>350</v>
      </c>
      <c r="R1081" s="78">
        <f>I1081-Q1081</f>
        <v>0</v>
      </c>
      <c r="S1081" s="78"/>
    </row>
    <row r="1082" spans="1:19" ht="18.75">
      <c r="A1082" s="49"/>
      <c r="B1082" s="259" t="s">
        <v>130</v>
      </c>
      <c r="C1082" s="259"/>
      <c r="D1082" s="259"/>
      <c r="E1082" s="195"/>
      <c r="F1082" s="203"/>
      <c r="G1082" s="203"/>
      <c r="H1082" s="187"/>
      <c r="I1082" s="209">
        <f>I1081+I1080+I1079+I1078+I1077</f>
        <v>84600</v>
      </c>
      <c r="J1082" s="210"/>
      <c r="K1082" s="53"/>
      <c r="L1082" s="53"/>
      <c r="M1082" s="53"/>
      <c r="N1082" s="53"/>
      <c r="O1082" s="54"/>
      <c r="P1082" s="44"/>
      <c r="Q1082" s="78"/>
      <c r="R1082" s="78"/>
      <c r="S1082" s="78"/>
    </row>
    <row r="1083" spans="1:19" ht="18.75">
      <c r="A1083" s="35"/>
      <c r="B1083" s="53"/>
      <c r="C1083" s="53"/>
      <c r="D1083" s="35"/>
      <c r="E1083" s="94"/>
      <c r="F1083" s="56"/>
      <c r="G1083" s="56"/>
      <c r="H1083" s="53"/>
      <c r="I1083" s="53"/>
      <c r="J1083" s="53"/>
      <c r="K1083" s="53"/>
      <c r="L1083" s="53"/>
      <c r="M1083" s="53"/>
      <c r="N1083" s="53"/>
      <c r="O1083" s="54"/>
      <c r="P1083" s="44"/>
      <c r="Q1083" s="78"/>
      <c r="R1083" s="78"/>
      <c r="S1083" s="78"/>
    </row>
    <row r="1084" spans="1:19" ht="18.75">
      <c r="A1084" s="53"/>
      <c r="B1084" s="53" t="s">
        <v>539</v>
      </c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4"/>
      <c r="P1084" s="44"/>
      <c r="Q1084" s="128"/>
      <c r="R1084" s="128"/>
      <c r="S1084" s="78"/>
    </row>
    <row r="1085" spans="1:19" ht="18.7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4"/>
      <c r="P1085" s="44"/>
      <c r="Q1085" s="128"/>
      <c r="R1085" s="128"/>
      <c r="S1085" s="78"/>
    </row>
    <row r="1086" spans="1:19" ht="56.25">
      <c r="A1086" s="124" t="s">
        <v>155</v>
      </c>
      <c r="B1086" s="232" t="s">
        <v>0</v>
      </c>
      <c r="C1086" s="237"/>
      <c r="D1086" s="237"/>
      <c r="E1086" s="233"/>
      <c r="F1086" s="260" t="s">
        <v>157</v>
      </c>
      <c r="G1086" s="260"/>
      <c r="H1086" s="184" t="s">
        <v>189</v>
      </c>
      <c r="I1086" s="188" t="s">
        <v>190</v>
      </c>
      <c r="J1086" s="188" t="s">
        <v>191</v>
      </c>
      <c r="K1086" s="117"/>
      <c r="L1086" s="117"/>
      <c r="M1086" s="117"/>
      <c r="N1086" s="117"/>
      <c r="O1086" s="118"/>
      <c r="P1086" s="167"/>
      <c r="Q1086" s="168"/>
      <c r="R1086" s="168"/>
      <c r="S1086" s="78"/>
    </row>
    <row r="1087" spans="1:19" ht="18.75">
      <c r="A1087" s="187">
        <v>1</v>
      </c>
      <c r="B1087" s="201">
        <v>2</v>
      </c>
      <c r="C1087" s="226"/>
      <c r="D1087" s="226"/>
      <c r="E1087" s="202"/>
      <c r="F1087" s="203">
        <v>3</v>
      </c>
      <c r="G1087" s="203"/>
      <c r="H1087" s="185">
        <v>4</v>
      </c>
      <c r="I1087" s="187">
        <v>5</v>
      </c>
      <c r="J1087" s="187">
        <v>6</v>
      </c>
      <c r="K1087" s="193"/>
      <c r="L1087" s="193"/>
      <c r="M1087" s="193"/>
      <c r="N1087" s="193"/>
      <c r="O1087" s="62"/>
      <c r="P1087" s="45"/>
      <c r="Q1087" s="128"/>
      <c r="R1087" s="128"/>
      <c r="S1087" s="78"/>
    </row>
    <row r="1088" spans="1:19" ht="56.25" customHeight="1">
      <c r="A1088" s="49">
        <v>1</v>
      </c>
      <c r="B1088" s="198" t="s">
        <v>541</v>
      </c>
      <c r="C1088" s="199"/>
      <c r="D1088" s="199"/>
      <c r="E1088" s="200"/>
      <c r="F1088" s="203">
        <v>310</v>
      </c>
      <c r="G1088" s="203"/>
      <c r="H1088" s="169">
        <v>1</v>
      </c>
      <c r="I1088" s="52">
        <f>J1088/H1088</f>
        <v>169000</v>
      </c>
      <c r="J1088" s="52">
        <v>169000</v>
      </c>
      <c r="K1088" s="53"/>
      <c r="L1088" s="53"/>
      <c r="M1088" s="53"/>
      <c r="N1088" s="53"/>
      <c r="O1088" s="54"/>
      <c r="P1088" s="44"/>
      <c r="Q1088" s="128">
        <v>103658</v>
      </c>
      <c r="R1088" s="128">
        <f>J1088-Q1088</f>
        <v>65342</v>
      </c>
      <c r="S1088" s="78">
        <v>103658</v>
      </c>
    </row>
    <row r="1089" spans="1:19" ht="18.75">
      <c r="A1089" s="49"/>
      <c r="B1089" s="253" t="s">
        <v>130</v>
      </c>
      <c r="C1089" s="254"/>
      <c r="D1089" s="254"/>
      <c r="E1089" s="255"/>
      <c r="F1089" s="203"/>
      <c r="G1089" s="203"/>
      <c r="H1089" s="170"/>
      <c r="I1089" s="49" t="s">
        <v>6</v>
      </c>
      <c r="J1089" s="183">
        <f>SUM(J1088:J1088)</f>
        <v>169000</v>
      </c>
      <c r="K1089" s="53"/>
      <c r="L1089" s="53"/>
      <c r="M1089" s="53"/>
      <c r="N1089" s="53"/>
      <c r="O1089" s="54"/>
      <c r="P1089" s="47"/>
      <c r="Q1089" s="128"/>
      <c r="R1089" s="128"/>
      <c r="S1089" s="78"/>
    </row>
    <row r="1090" spans="1:19" ht="18.75">
      <c r="A1090" s="56"/>
      <c r="B1090" s="145"/>
      <c r="C1090" s="145"/>
      <c r="D1090" s="145"/>
      <c r="E1090" s="145"/>
      <c r="F1090" s="55"/>
      <c r="G1090" s="55"/>
      <c r="H1090" s="171"/>
      <c r="I1090" s="56"/>
      <c r="J1090" s="146"/>
      <c r="K1090" s="53"/>
      <c r="L1090" s="53"/>
      <c r="M1090" s="53"/>
      <c r="N1090" s="53"/>
      <c r="O1090" s="54"/>
      <c r="P1090" s="47"/>
      <c r="Q1090" s="128"/>
      <c r="R1090" s="128"/>
      <c r="S1090" s="78"/>
    </row>
    <row r="1091" spans="1:19" ht="18.75">
      <c r="A1091" s="35"/>
      <c r="B1091" s="53"/>
      <c r="C1091" s="53"/>
      <c r="D1091" s="35"/>
      <c r="E1091" s="94"/>
      <c r="F1091" s="56"/>
      <c r="G1091" s="56"/>
      <c r="H1091" s="53"/>
      <c r="I1091" s="53"/>
      <c r="J1091" s="53"/>
      <c r="K1091" s="53"/>
      <c r="L1091" s="53"/>
      <c r="M1091" s="53"/>
      <c r="N1091" s="53"/>
      <c r="O1091" s="54"/>
      <c r="P1091" s="44"/>
      <c r="Q1091" s="78"/>
      <c r="R1091" s="78"/>
      <c r="S1091" s="78"/>
    </row>
    <row r="1092" spans="1:19" ht="18.75">
      <c r="A1092" s="53"/>
      <c r="B1092" s="57" t="s">
        <v>540</v>
      </c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  <c r="N1092" s="53"/>
      <c r="O1092" s="54"/>
      <c r="P1092" s="44"/>
      <c r="Q1092" s="78"/>
      <c r="R1092" s="78"/>
      <c r="S1092" s="78"/>
    </row>
    <row r="1093" spans="1:19" ht="18.75">
      <c r="A1093" s="58"/>
      <c r="B1093" s="58"/>
      <c r="C1093" s="58"/>
      <c r="D1093" s="58"/>
      <c r="E1093" s="58"/>
      <c r="F1093" s="58"/>
      <c r="G1093" s="58"/>
      <c r="H1093" s="58"/>
      <c r="I1093" s="58"/>
      <c r="J1093" s="58"/>
      <c r="K1093" s="58"/>
      <c r="L1093" s="58"/>
      <c r="M1093" s="58"/>
      <c r="N1093" s="53"/>
      <c r="O1093" s="54"/>
      <c r="P1093" s="44"/>
      <c r="Q1093" s="78"/>
      <c r="R1093" s="78"/>
      <c r="S1093" s="78"/>
    </row>
    <row r="1094" spans="1:17" ht="56.25">
      <c r="A1094" s="49" t="s">
        <v>155</v>
      </c>
      <c r="B1094" s="227" t="s">
        <v>0</v>
      </c>
      <c r="C1094" s="229"/>
      <c r="D1094" s="228"/>
      <c r="E1094" s="227" t="s">
        <v>168</v>
      </c>
      <c r="F1094" s="228"/>
      <c r="G1094" s="61" t="s">
        <v>190</v>
      </c>
      <c r="H1094" s="227" t="s">
        <v>191</v>
      </c>
      <c r="I1094" s="228"/>
      <c r="J1094" s="53"/>
      <c r="K1094" s="53"/>
      <c r="L1094" s="53"/>
      <c r="M1094" s="54"/>
      <c r="N1094" s="44"/>
      <c r="O1094" s="143"/>
      <c r="P1094" s="78"/>
      <c r="Q1094" s="78"/>
    </row>
    <row r="1095" spans="1:19" ht="18.75">
      <c r="A1095" s="187">
        <v>1</v>
      </c>
      <c r="B1095" s="201">
        <v>2</v>
      </c>
      <c r="C1095" s="226"/>
      <c r="D1095" s="202"/>
      <c r="E1095" s="201">
        <v>3</v>
      </c>
      <c r="F1095" s="202"/>
      <c r="G1095" s="187">
        <v>4</v>
      </c>
      <c r="H1095" s="201">
        <v>5</v>
      </c>
      <c r="I1095" s="202"/>
      <c r="J1095" s="193"/>
      <c r="K1095" s="193"/>
      <c r="L1095" s="193"/>
      <c r="M1095" s="54"/>
      <c r="N1095" s="44"/>
      <c r="O1095" s="143"/>
      <c r="P1095" s="78">
        <f>O1096</f>
        <v>0</v>
      </c>
      <c r="Q1095" s="78" t="s">
        <v>323</v>
      </c>
      <c r="R1095" s="78">
        <f>Q1096</f>
        <v>23034</v>
      </c>
      <c r="S1095" s="78"/>
    </row>
    <row r="1096" spans="1:19" ht="129" customHeight="1">
      <c r="A1096" s="49">
        <v>1</v>
      </c>
      <c r="B1096" s="198" t="s">
        <v>527</v>
      </c>
      <c r="C1096" s="199"/>
      <c r="D1096" s="200"/>
      <c r="E1096" s="201">
        <v>342</v>
      </c>
      <c r="F1096" s="202"/>
      <c r="G1096" s="52">
        <v>13.5</v>
      </c>
      <c r="H1096" s="209">
        <v>46300</v>
      </c>
      <c r="I1096" s="210"/>
      <c r="J1096" s="53"/>
      <c r="K1096" s="53"/>
      <c r="L1096" s="53"/>
      <c r="M1096" s="54"/>
      <c r="N1096" s="44"/>
      <c r="O1096" s="143"/>
      <c r="P1096" s="78">
        <f>H1096-O1096</f>
        <v>46300</v>
      </c>
      <c r="Q1096" s="78">
        <v>23034</v>
      </c>
      <c r="R1096" s="78">
        <f>H1096-Q1096</f>
        <v>23266</v>
      </c>
      <c r="S1096" s="78"/>
    </row>
    <row r="1097" spans="1:17" ht="18.75">
      <c r="A1097" s="49"/>
      <c r="B1097" s="201" t="s">
        <v>130</v>
      </c>
      <c r="C1097" s="226"/>
      <c r="D1097" s="202"/>
      <c r="E1097" s="201"/>
      <c r="F1097" s="202"/>
      <c r="G1097" s="49" t="s">
        <v>6</v>
      </c>
      <c r="H1097" s="209">
        <f>SUM(H1096:H1096)</f>
        <v>46300</v>
      </c>
      <c r="I1097" s="210"/>
      <c r="J1097" s="53"/>
      <c r="K1097" s="53"/>
      <c r="L1097" s="53"/>
      <c r="M1097" s="54"/>
      <c r="N1097" s="44"/>
      <c r="O1097" s="143"/>
      <c r="P1097" s="78"/>
      <c r="Q1097" s="78"/>
    </row>
    <row r="1098" spans="1:19" ht="18.75">
      <c r="A1098" s="35"/>
      <c r="B1098" s="53"/>
      <c r="C1098" s="53"/>
      <c r="D1098" s="35"/>
      <c r="E1098" s="94"/>
      <c r="F1098" s="56"/>
      <c r="G1098" s="56"/>
      <c r="H1098" s="53"/>
      <c r="I1098" s="53"/>
      <c r="J1098" s="53"/>
      <c r="K1098" s="53"/>
      <c r="L1098" s="53"/>
      <c r="M1098" s="53"/>
      <c r="N1098" s="53"/>
      <c r="O1098" s="54"/>
      <c r="P1098" s="44"/>
      <c r="Q1098" s="78"/>
      <c r="R1098" s="78"/>
      <c r="S1098" s="78"/>
    </row>
    <row r="1099" spans="1:19" ht="18.75">
      <c r="A1099" s="35"/>
      <c r="B1099" s="53" t="s">
        <v>438</v>
      </c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4"/>
      <c r="P1099" s="44"/>
      <c r="Q1099" s="78"/>
      <c r="R1099" s="78"/>
      <c r="S1099" s="78"/>
    </row>
    <row r="1100" spans="1:19" ht="18.75">
      <c r="A1100" s="35"/>
      <c r="B1100" s="53" t="s">
        <v>179</v>
      </c>
      <c r="C1100" s="53"/>
      <c r="D1100" s="140">
        <v>321</v>
      </c>
      <c r="E1100" s="140"/>
      <c r="F1100" s="140"/>
      <c r="G1100" s="56"/>
      <c r="H1100" s="53"/>
      <c r="I1100" s="53"/>
      <c r="J1100" s="53"/>
      <c r="K1100" s="53"/>
      <c r="L1100" s="53"/>
      <c r="M1100" s="53"/>
      <c r="N1100" s="53"/>
      <c r="O1100" s="54"/>
      <c r="P1100" s="44"/>
      <c r="Q1100" s="78"/>
      <c r="R1100" s="78"/>
      <c r="S1100" s="78"/>
    </row>
    <row r="1101" spans="1:19" ht="18.75">
      <c r="A1101" s="35"/>
      <c r="B1101" s="53" t="s">
        <v>153</v>
      </c>
      <c r="C1101" s="53"/>
      <c r="D1101" s="35"/>
      <c r="E1101" s="141" t="s">
        <v>222</v>
      </c>
      <c r="F1101" s="142"/>
      <c r="G1101" s="56"/>
      <c r="H1101" s="53"/>
      <c r="I1101" s="53"/>
      <c r="J1101" s="53"/>
      <c r="K1101" s="53"/>
      <c r="L1101" s="53"/>
      <c r="M1101" s="53"/>
      <c r="N1101" s="53"/>
      <c r="O1101" s="54"/>
      <c r="P1101" s="44"/>
      <c r="Q1101" s="78"/>
      <c r="R1101" s="78"/>
      <c r="S1101" s="78"/>
    </row>
    <row r="1102" spans="1:19" ht="18.75">
      <c r="A1102" s="35"/>
      <c r="B1102" s="53"/>
      <c r="C1102" s="53"/>
      <c r="D1102" s="35"/>
      <c r="E1102" s="94"/>
      <c r="F1102" s="56"/>
      <c r="G1102" s="56"/>
      <c r="H1102" s="53"/>
      <c r="I1102" s="53"/>
      <c r="J1102" s="53"/>
      <c r="K1102" s="53"/>
      <c r="L1102" s="53"/>
      <c r="M1102" s="53"/>
      <c r="N1102" s="53"/>
      <c r="O1102" s="54"/>
      <c r="P1102" s="44"/>
      <c r="Q1102" s="78"/>
      <c r="R1102" s="78"/>
      <c r="S1102" s="78"/>
    </row>
    <row r="1103" spans="1:19" ht="18.75">
      <c r="A1103" s="35"/>
      <c r="B1103" s="57" t="s">
        <v>439</v>
      </c>
      <c r="C1103" s="58"/>
      <c r="D1103" s="58"/>
      <c r="E1103" s="58"/>
      <c r="F1103" s="58"/>
      <c r="G1103" s="58"/>
      <c r="H1103" s="58"/>
      <c r="I1103" s="58"/>
      <c r="J1103" s="58"/>
      <c r="K1103" s="58"/>
      <c r="L1103" s="53"/>
      <c r="M1103" s="53"/>
      <c r="N1103" s="53"/>
      <c r="O1103" s="54"/>
      <c r="P1103" s="44"/>
      <c r="Q1103" s="78"/>
      <c r="R1103" s="78"/>
      <c r="S1103" s="78"/>
    </row>
    <row r="1104" spans="1:19" ht="18.75">
      <c r="A1104" s="35"/>
      <c r="B1104" s="53"/>
      <c r="C1104" s="53"/>
      <c r="D1104" s="35"/>
      <c r="E1104" s="94"/>
      <c r="F1104" s="56"/>
      <c r="G1104" s="56"/>
      <c r="H1104" s="53"/>
      <c r="I1104" s="53"/>
      <c r="J1104" s="53"/>
      <c r="K1104" s="53"/>
      <c r="L1104" s="53"/>
      <c r="M1104" s="53"/>
      <c r="N1104" s="53"/>
      <c r="O1104" s="54"/>
      <c r="P1104" s="44"/>
      <c r="Q1104" s="78"/>
      <c r="R1104" s="78"/>
      <c r="S1104" s="78"/>
    </row>
    <row r="1105" spans="1:17" ht="93.75">
      <c r="A1105" s="107" t="s">
        <v>155</v>
      </c>
      <c r="B1105" s="216" t="s">
        <v>156</v>
      </c>
      <c r="C1105" s="217"/>
      <c r="D1105" s="218"/>
      <c r="E1105" s="100" t="s">
        <v>168</v>
      </c>
      <c r="F1105" s="216" t="s">
        <v>369</v>
      </c>
      <c r="G1105" s="218"/>
      <c r="H1105" s="100" t="s">
        <v>177</v>
      </c>
      <c r="I1105" s="53"/>
      <c r="J1105" s="53"/>
      <c r="K1105" s="53"/>
      <c r="L1105" s="53"/>
      <c r="M1105" s="54"/>
      <c r="N1105" s="44"/>
      <c r="O1105" s="143"/>
      <c r="P1105" s="78"/>
      <c r="Q1105" s="78"/>
    </row>
    <row r="1106" spans="1:18" ht="18.75">
      <c r="A1106" s="103">
        <v>1</v>
      </c>
      <c r="B1106" s="207">
        <v>2</v>
      </c>
      <c r="C1106" s="219"/>
      <c r="D1106" s="208"/>
      <c r="E1106" s="103">
        <v>3</v>
      </c>
      <c r="F1106" s="207">
        <v>4</v>
      </c>
      <c r="G1106" s="208"/>
      <c r="H1106" s="103">
        <v>7</v>
      </c>
      <c r="I1106" s="53"/>
      <c r="J1106" s="53"/>
      <c r="K1106" s="53"/>
      <c r="L1106" s="53"/>
      <c r="M1106" s="54"/>
      <c r="N1106" s="44"/>
      <c r="O1106" s="143"/>
      <c r="P1106" s="78">
        <f>O1107</f>
        <v>0</v>
      </c>
      <c r="Q1106" s="78" t="s">
        <v>373</v>
      </c>
      <c r="R1106" s="78">
        <f>Q1107</f>
        <v>32077.76</v>
      </c>
    </row>
    <row r="1107" spans="1:18" ht="92.25" customHeight="1">
      <c r="A1107" s="107">
        <v>1</v>
      </c>
      <c r="B1107" s="204" t="s">
        <v>368</v>
      </c>
      <c r="C1107" s="205"/>
      <c r="D1107" s="206"/>
      <c r="E1107" s="107">
        <v>262</v>
      </c>
      <c r="F1107" s="207">
        <v>1</v>
      </c>
      <c r="G1107" s="208"/>
      <c r="H1107" s="109">
        <v>84500</v>
      </c>
      <c r="I1107" s="53"/>
      <c r="J1107" s="53"/>
      <c r="K1107" s="53"/>
      <c r="L1107" s="53"/>
      <c r="M1107" s="54"/>
      <c r="N1107" s="44"/>
      <c r="O1107" s="143"/>
      <c r="P1107" s="78">
        <f>H1107-O1107</f>
        <v>84500</v>
      </c>
      <c r="Q1107" s="78">
        <v>32077.76</v>
      </c>
      <c r="R1107" s="78">
        <f>H1107-Q1107</f>
        <v>52422.240000000005</v>
      </c>
    </row>
    <row r="1108" spans="1:17" ht="18.75">
      <c r="A1108" s="107"/>
      <c r="B1108" s="207" t="s">
        <v>130</v>
      </c>
      <c r="C1108" s="219"/>
      <c r="D1108" s="208"/>
      <c r="E1108" s="107"/>
      <c r="F1108" s="207" t="s">
        <v>172</v>
      </c>
      <c r="G1108" s="208"/>
      <c r="H1108" s="131">
        <f>SUM(H1107:H1107)</f>
        <v>84500</v>
      </c>
      <c r="I1108" s="53"/>
      <c r="J1108" s="53"/>
      <c r="K1108" s="53"/>
      <c r="L1108" s="53"/>
      <c r="M1108" s="54"/>
      <c r="N1108" s="44"/>
      <c r="O1108" s="143"/>
      <c r="P1108" s="78"/>
      <c r="Q1108" s="78"/>
    </row>
    <row r="1109" spans="1:19" ht="18.75">
      <c r="A1109" s="35"/>
      <c r="B1109" s="53"/>
      <c r="C1109" s="53"/>
      <c r="D1109" s="35"/>
      <c r="E1109" s="94"/>
      <c r="F1109" s="56"/>
      <c r="G1109" s="56"/>
      <c r="H1109" s="53"/>
      <c r="I1109" s="53"/>
      <c r="J1109" s="53"/>
      <c r="K1109" s="53"/>
      <c r="L1109" s="53"/>
      <c r="M1109" s="53"/>
      <c r="N1109" s="53"/>
      <c r="O1109" s="54"/>
      <c r="P1109" s="44"/>
      <c r="Q1109" s="78"/>
      <c r="R1109" s="78"/>
      <c r="S1109" s="78"/>
    </row>
    <row r="1110" spans="1:19" ht="18.75">
      <c r="A1110" s="56"/>
      <c r="B1110" s="55"/>
      <c r="C1110" s="55"/>
      <c r="D1110" s="55"/>
      <c r="E1110" s="55"/>
      <c r="F1110" s="55"/>
      <c r="G1110" s="55"/>
      <c r="H1110" s="55"/>
      <c r="I1110" s="56"/>
      <c r="J1110" s="65"/>
      <c r="K1110" s="65"/>
      <c r="L1110" s="53"/>
      <c r="M1110" s="53"/>
      <c r="N1110" s="53"/>
      <c r="O1110" s="54"/>
      <c r="P1110" s="44"/>
      <c r="Q1110" s="78"/>
      <c r="R1110" s="78"/>
      <c r="S1110" s="78"/>
    </row>
    <row r="1111" spans="1:16" ht="18.75" hidden="1">
      <c r="A1111" s="53"/>
      <c r="B1111" s="53" t="s">
        <v>440</v>
      </c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4"/>
      <c r="P1111" s="44"/>
    </row>
    <row r="1112" spans="1:16" ht="18.75" hidden="1">
      <c r="A1112" s="53"/>
      <c r="B1112" s="53" t="s">
        <v>152</v>
      </c>
      <c r="C1112" s="93"/>
      <c r="D1112" s="140">
        <v>100</v>
      </c>
      <c r="E1112" s="140"/>
      <c r="F1112" s="140"/>
      <c r="G1112" s="140"/>
      <c r="H1112" s="56"/>
      <c r="I1112" s="53"/>
      <c r="J1112" s="53"/>
      <c r="K1112" s="53"/>
      <c r="L1112" s="53"/>
      <c r="M1112" s="53"/>
      <c r="N1112" s="53"/>
      <c r="O1112" s="54"/>
      <c r="P1112" s="44"/>
    </row>
    <row r="1113" spans="1:16" ht="18.75" hidden="1">
      <c r="A1113" s="53"/>
      <c r="B1113" s="53" t="s">
        <v>153</v>
      </c>
      <c r="C1113" s="53"/>
      <c r="D1113" s="93"/>
      <c r="E1113" s="93"/>
      <c r="F1113" s="142" t="s">
        <v>154</v>
      </c>
      <c r="G1113" s="142"/>
      <c r="H1113" s="142"/>
      <c r="I1113" s="142"/>
      <c r="J1113" s="56"/>
      <c r="K1113" s="53"/>
      <c r="L1113" s="53"/>
      <c r="M1113" s="53"/>
      <c r="N1113" s="53"/>
      <c r="O1113" s="54"/>
      <c r="P1113" s="44"/>
    </row>
    <row r="1114" spans="1:16" ht="18.75" hidden="1">
      <c r="A1114" s="53"/>
      <c r="B1114" s="53"/>
      <c r="C1114" s="53"/>
      <c r="D1114" s="56"/>
      <c r="E1114" s="56"/>
      <c r="F1114" s="56"/>
      <c r="G1114" s="56"/>
      <c r="H1114" s="56"/>
      <c r="I1114" s="53"/>
      <c r="J1114" s="53"/>
      <c r="K1114" s="53"/>
      <c r="L1114" s="53"/>
      <c r="M1114" s="53"/>
      <c r="N1114" s="53"/>
      <c r="O1114" s="54"/>
      <c r="P1114" s="44"/>
    </row>
    <row r="1115" spans="1:16" ht="18.75" hidden="1">
      <c r="A1115" s="53"/>
      <c r="B1115" s="53" t="s">
        <v>441</v>
      </c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4"/>
      <c r="P1115" s="44"/>
    </row>
    <row r="1116" spans="1:16" ht="18.75" hidden="1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4"/>
      <c r="P1116" s="44"/>
    </row>
    <row r="1117" spans="1:16" ht="56.25" customHeight="1" hidden="1">
      <c r="A1117" s="49" t="s">
        <v>155</v>
      </c>
      <c r="B1117" s="260" t="s">
        <v>156</v>
      </c>
      <c r="C1117" s="260"/>
      <c r="D1117" s="260"/>
      <c r="E1117" s="260"/>
      <c r="F1117" s="259" t="s">
        <v>157</v>
      </c>
      <c r="G1117" s="259"/>
      <c r="H1117" s="61" t="s">
        <v>158</v>
      </c>
      <c r="I1117" s="61" t="s">
        <v>159</v>
      </c>
      <c r="J1117" s="227" t="s">
        <v>160</v>
      </c>
      <c r="K1117" s="228"/>
      <c r="L1117" s="53"/>
      <c r="M1117" s="53"/>
      <c r="N1117" s="53"/>
      <c r="O1117" s="54"/>
      <c r="P1117" s="44"/>
    </row>
    <row r="1118" spans="1:16" ht="18.75" hidden="1">
      <c r="A1118" s="187">
        <v>1</v>
      </c>
      <c r="B1118" s="232">
        <v>2</v>
      </c>
      <c r="C1118" s="237"/>
      <c r="D1118" s="237"/>
      <c r="E1118" s="233"/>
      <c r="F1118" s="227">
        <v>3</v>
      </c>
      <c r="G1118" s="228"/>
      <c r="H1118" s="191">
        <v>4</v>
      </c>
      <c r="I1118" s="119">
        <v>5</v>
      </c>
      <c r="J1118" s="227">
        <v>6</v>
      </c>
      <c r="K1118" s="228"/>
      <c r="L1118" s="193"/>
      <c r="M1118" s="193"/>
      <c r="N1118" s="193"/>
      <c r="O1118" s="62"/>
      <c r="P1118" s="45"/>
    </row>
    <row r="1119" spans="1:16" ht="18.75" hidden="1">
      <c r="A1119" s="49">
        <v>1</v>
      </c>
      <c r="B1119" s="265" t="s">
        <v>161</v>
      </c>
      <c r="C1119" s="265"/>
      <c r="D1119" s="265"/>
      <c r="E1119" s="265"/>
      <c r="F1119" s="203">
        <v>211</v>
      </c>
      <c r="G1119" s="203"/>
      <c r="H1119" s="52">
        <f>J1119/I1119</f>
        <v>2333156.0416666665</v>
      </c>
      <c r="I1119" s="147">
        <v>12</v>
      </c>
      <c r="J1119" s="215">
        <v>27997872.5</v>
      </c>
      <c r="K1119" s="215"/>
      <c r="L1119" s="53"/>
      <c r="M1119" s="53"/>
      <c r="N1119" s="53"/>
      <c r="O1119" s="54"/>
      <c r="P1119" s="44"/>
    </row>
    <row r="1120" spans="1:16" ht="18.75" hidden="1">
      <c r="A1120" s="49"/>
      <c r="B1120" s="201" t="s">
        <v>130</v>
      </c>
      <c r="C1120" s="226"/>
      <c r="D1120" s="226"/>
      <c r="E1120" s="202"/>
      <c r="F1120" s="203"/>
      <c r="G1120" s="203"/>
      <c r="H1120" s="121" t="s">
        <v>162</v>
      </c>
      <c r="I1120" s="122"/>
      <c r="J1120" s="215">
        <f>J1119</f>
        <v>27997872.5</v>
      </c>
      <c r="K1120" s="215"/>
      <c r="L1120" s="53"/>
      <c r="M1120" s="53"/>
      <c r="N1120" s="53"/>
      <c r="O1120" s="54"/>
      <c r="P1120" s="46"/>
    </row>
    <row r="1121" spans="1:16" ht="18.75" hidden="1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4"/>
      <c r="P1121" s="44"/>
    </row>
    <row r="1122" spans="1:16" ht="18.75" hidden="1">
      <c r="A1122" s="53"/>
      <c r="B1122" s="53" t="s">
        <v>442</v>
      </c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4"/>
      <c r="P1122" s="44"/>
    </row>
    <row r="1123" spans="1:16" ht="18.75" hidden="1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4"/>
      <c r="P1123" s="44"/>
    </row>
    <row r="1124" spans="1:16" ht="93.75" hidden="1">
      <c r="A1124" s="49" t="s">
        <v>155</v>
      </c>
      <c r="B1124" s="201" t="s">
        <v>167</v>
      </c>
      <c r="C1124" s="226"/>
      <c r="D1124" s="226"/>
      <c r="E1124" s="202"/>
      <c r="F1124" s="227" t="s">
        <v>168</v>
      </c>
      <c r="G1124" s="228"/>
      <c r="H1124" s="61" t="s">
        <v>169</v>
      </c>
      <c r="I1124" s="227" t="s">
        <v>170</v>
      </c>
      <c r="J1124" s="228"/>
      <c r="K1124" s="53"/>
      <c r="L1124" s="53"/>
      <c r="M1124" s="53"/>
      <c r="N1124" s="53"/>
      <c r="O1124" s="54"/>
      <c r="P1124" s="44"/>
    </row>
    <row r="1125" spans="1:16" ht="18.75" hidden="1">
      <c r="A1125" s="187">
        <v>1</v>
      </c>
      <c r="B1125" s="201">
        <v>2</v>
      </c>
      <c r="C1125" s="226"/>
      <c r="D1125" s="226"/>
      <c r="E1125" s="202"/>
      <c r="F1125" s="201">
        <v>3</v>
      </c>
      <c r="G1125" s="202"/>
      <c r="H1125" s="187">
        <v>4</v>
      </c>
      <c r="I1125" s="201">
        <v>5</v>
      </c>
      <c r="J1125" s="202"/>
      <c r="K1125" s="53"/>
      <c r="L1125" s="53"/>
      <c r="M1125" s="53"/>
      <c r="N1125" s="53"/>
      <c r="O1125" s="54"/>
      <c r="P1125" s="44"/>
    </row>
    <row r="1126" spans="1:16" ht="18.75" customHeight="1" hidden="1">
      <c r="A1126" s="49">
        <v>1</v>
      </c>
      <c r="B1126" s="204" t="s">
        <v>171</v>
      </c>
      <c r="C1126" s="205"/>
      <c r="D1126" s="205"/>
      <c r="E1126" s="206"/>
      <c r="F1126" s="201">
        <v>213</v>
      </c>
      <c r="G1126" s="202"/>
      <c r="H1126" s="123">
        <v>30.2</v>
      </c>
      <c r="I1126" s="209">
        <v>8455357.5</v>
      </c>
      <c r="J1126" s="210"/>
      <c r="K1126" s="53"/>
      <c r="L1126" s="53"/>
      <c r="M1126" s="53"/>
      <c r="N1126" s="53"/>
      <c r="O1126" s="54"/>
      <c r="P1126" s="44"/>
    </row>
    <row r="1127" spans="1:16" ht="18.75" hidden="1">
      <c r="A1127" s="49"/>
      <c r="B1127" s="201" t="s">
        <v>130</v>
      </c>
      <c r="C1127" s="226"/>
      <c r="D1127" s="226"/>
      <c r="E1127" s="202"/>
      <c r="F1127" s="201"/>
      <c r="G1127" s="202"/>
      <c r="H1127" s="49" t="s">
        <v>172</v>
      </c>
      <c r="I1127" s="209">
        <f>SUM(I1126:I1126)</f>
        <v>8455357.5</v>
      </c>
      <c r="J1127" s="210"/>
      <c r="K1127" s="53"/>
      <c r="L1127" s="53"/>
      <c r="M1127" s="53"/>
      <c r="N1127" s="53"/>
      <c r="O1127" s="54"/>
      <c r="P1127" s="46"/>
    </row>
    <row r="1128" spans="1:16" ht="18.75" hidden="1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4"/>
      <c r="P1128" s="44"/>
    </row>
    <row r="1129" spans="1:17" ht="18.75" hidden="1">
      <c r="A1129" s="53"/>
      <c r="B1129" s="53" t="s">
        <v>443</v>
      </c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4"/>
      <c r="P1129" s="44"/>
      <c r="Q1129" s="78"/>
    </row>
    <row r="1130" spans="1:17" ht="18.75" hidden="1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4"/>
      <c r="P1130" s="44"/>
      <c r="Q1130" s="78"/>
    </row>
    <row r="1131" spans="1:17" ht="93.75" hidden="1">
      <c r="A1131" s="49" t="s">
        <v>155</v>
      </c>
      <c r="B1131" s="232" t="s">
        <v>0</v>
      </c>
      <c r="C1131" s="237"/>
      <c r="D1131" s="237"/>
      <c r="E1131" s="233"/>
      <c r="F1131" s="259" t="s">
        <v>168</v>
      </c>
      <c r="G1131" s="259"/>
      <c r="H1131" s="188" t="s">
        <v>301</v>
      </c>
      <c r="I1131" s="188" t="s">
        <v>302</v>
      </c>
      <c r="J1131" s="188" t="s">
        <v>177</v>
      </c>
      <c r="K1131" s="53"/>
      <c r="L1131" s="53"/>
      <c r="M1131" s="53"/>
      <c r="N1131" s="54"/>
      <c r="O1131" s="44"/>
      <c r="P1131" s="44"/>
      <c r="Q1131" s="78"/>
    </row>
    <row r="1132" spans="1:17" ht="18.75" hidden="1">
      <c r="A1132" s="187">
        <v>1</v>
      </c>
      <c r="B1132" s="203">
        <v>2</v>
      </c>
      <c r="C1132" s="203"/>
      <c r="D1132" s="203"/>
      <c r="E1132" s="203"/>
      <c r="F1132" s="203">
        <v>3</v>
      </c>
      <c r="G1132" s="203"/>
      <c r="H1132" s="187">
        <v>4</v>
      </c>
      <c r="I1132" s="187">
        <v>5</v>
      </c>
      <c r="J1132" s="187">
        <v>6</v>
      </c>
      <c r="K1132" s="193"/>
      <c r="L1132" s="53"/>
      <c r="M1132" s="53"/>
      <c r="N1132" s="54"/>
      <c r="O1132" s="44"/>
      <c r="P1132" s="44"/>
      <c r="Q1132" s="78" t="s">
        <v>310</v>
      </c>
    </row>
    <row r="1133" spans="1:17" ht="35.25" customHeight="1" hidden="1">
      <c r="A1133" s="150">
        <v>1</v>
      </c>
      <c r="B1133" s="454" t="s">
        <v>303</v>
      </c>
      <c r="C1133" s="454"/>
      <c r="D1133" s="454"/>
      <c r="E1133" s="454"/>
      <c r="F1133" s="203">
        <v>212</v>
      </c>
      <c r="G1133" s="203"/>
      <c r="H1133" s="150">
        <v>100</v>
      </c>
      <c r="I1133" s="150">
        <f>J1133/H1133</f>
        <v>20</v>
      </c>
      <c r="J1133" s="79">
        <v>2000</v>
      </c>
      <c r="K1133" s="53"/>
      <c r="L1133" s="53"/>
      <c r="M1133" s="53"/>
      <c r="N1133" s="54"/>
      <c r="O1133" s="44"/>
      <c r="P1133" s="44"/>
      <c r="Q1133" s="78"/>
    </row>
    <row r="1134" spans="1:17" ht="18.75" hidden="1">
      <c r="A1134" s="150"/>
      <c r="B1134" s="201" t="s">
        <v>130</v>
      </c>
      <c r="C1134" s="226"/>
      <c r="D1134" s="226"/>
      <c r="E1134" s="202"/>
      <c r="F1134" s="203"/>
      <c r="G1134" s="203"/>
      <c r="H1134" s="150" t="s">
        <v>172</v>
      </c>
      <c r="I1134" s="150" t="s">
        <v>172</v>
      </c>
      <c r="J1134" s="79">
        <f>SUM(J1133:J1133)</f>
        <v>2000</v>
      </c>
      <c r="K1134" s="53"/>
      <c r="L1134" s="53"/>
      <c r="M1134" s="53"/>
      <c r="N1134" s="54"/>
      <c r="O1134" s="44"/>
      <c r="P1134" s="44"/>
      <c r="Q1134" s="78"/>
    </row>
    <row r="1135" spans="1:17" ht="18.75" hidden="1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4"/>
      <c r="P1135" s="44"/>
      <c r="Q1135" s="78"/>
    </row>
    <row r="1136" spans="1:17" ht="18.75" hidden="1">
      <c r="A1136" s="53"/>
      <c r="B1136" s="53" t="s">
        <v>444</v>
      </c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4"/>
      <c r="P1136" s="44"/>
      <c r="Q1136" s="78"/>
    </row>
    <row r="1137" spans="1:17" ht="18.75" hidden="1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4"/>
      <c r="P1137" s="44"/>
      <c r="Q1137" s="78"/>
    </row>
    <row r="1138" spans="1:17" ht="75" hidden="1">
      <c r="A1138" s="49" t="s">
        <v>155</v>
      </c>
      <c r="B1138" s="232" t="s">
        <v>0</v>
      </c>
      <c r="C1138" s="237"/>
      <c r="D1138" s="237"/>
      <c r="E1138" s="233"/>
      <c r="F1138" s="259" t="s">
        <v>168</v>
      </c>
      <c r="G1138" s="259"/>
      <c r="H1138" s="188" t="s">
        <v>304</v>
      </c>
      <c r="I1138" s="188" t="s">
        <v>305</v>
      </c>
      <c r="J1138" s="188" t="s">
        <v>177</v>
      </c>
      <c r="K1138" s="53"/>
      <c r="L1138" s="53"/>
      <c r="M1138" s="53"/>
      <c r="N1138" s="54"/>
      <c r="O1138" s="44"/>
      <c r="P1138" s="44"/>
      <c r="Q1138" s="78"/>
    </row>
    <row r="1139" spans="1:17" ht="18.75" hidden="1">
      <c r="A1139" s="187">
        <v>1</v>
      </c>
      <c r="B1139" s="203">
        <v>2</v>
      </c>
      <c r="C1139" s="203"/>
      <c r="D1139" s="203"/>
      <c r="E1139" s="203"/>
      <c r="F1139" s="203">
        <v>3</v>
      </c>
      <c r="G1139" s="203"/>
      <c r="H1139" s="187">
        <v>4</v>
      </c>
      <c r="I1139" s="187">
        <v>5</v>
      </c>
      <c r="J1139" s="187">
        <v>6</v>
      </c>
      <c r="K1139" s="193"/>
      <c r="L1139" s="53"/>
      <c r="M1139" s="53"/>
      <c r="N1139" s="54"/>
      <c r="O1139" s="44"/>
      <c r="P1139" s="44"/>
      <c r="Q1139" s="78" t="s">
        <v>311</v>
      </c>
    </row>
    <row r="1140" spans="1:17" ht="39" customHeight="1" hidden="1">
      <c r="A1140" s="150">
        <v>1</v>
      </c>
      <c r="B1140" s="454" t="s">
        <v>306</v>
      </c>
      <c r="C1140" s="454"/>
      <c r="D1140" s="454"/>
      <c r="E1140" s="454"/>
      <c r="F1140" s="203">
        <v>226</v>
      </c>
      <c r="G1140" s="203"/>
      <c r="H1140" s="150">
        <v>3</v>
      </c>
      <c r="I1140" s="79">
        <f>J1140/H1140</f>
        <v>4000</v>
      </c>
      <c r="J1140" s="79">
        <v>12000</v>
      </c>
      <c r="K1140" s="53"/>
      <c r="L1140" s="53"/>
      <c r="M1140" s="53"/>
      <c r="N1140" s="54"/>
      <c r="O1140" s="44"/>
      <c r="P1140" s="44"/>
      <c r="Q1140" s="78"/>
    </row>
    <row r="1141" spans="1:17" ht="18.75" hidden="1">
      <c r="A1141" s="150"/>
      <c r="B1141" s="201" t="s">
        <v>130</v>
      </c>
      <c r="C1141" s="226"/>
      <c r="D1141" s="226"/>
      <c r="E1141" s="202"/>
      <c r="F1141" s="203"/>
      <c r="G1141" s="203"/>
      <c r="H1141" s="150" t="s">
        <v>172</v>
      </c>
      <c r="I1141" s="150" t="s">
        <v>172</v>
      </c>
      <c r="J1141" s="79">
        <f>SUM(J1140:J1140)</f>
        <v>12000</v>
      </c>
      <c r="K1141" s="53"/>
      <c r="L1141" s="53"/>
      <c r="M1141" s="53"/>
      <c r="N1141" s="54"/>
      <c r="O1141" s="44"/>
      <c r="P1141" s="44"/>
      <c r="Q1141" s="78"/>
    </row>
    <row r="1142" spans="1:16" ht="18.75" hidden="1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4"/>
      <c r="P1142" s="44"/>
    </row>
    <row r="1143" spans="1:16" ht="18.75" hidden="1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4"/>
      <c r="P1143" s="44"/>
    </row>
    <row r="1144" spans="1:16" ht="18.75" hidden="1">
      <c r="A1144" s="53"/>
      <c r="B1144" s="53" t="s">
        <v>445</v>
      </c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4"/>
      <c r="P1144" s="44"/>
    </row>
    <row r="1145" spans="1:16" ht="18.75" hidden="1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4"/>
      <c r="P1145" s="44"/>
    </row>
    <row r="1146" spans="1:16" ht="75" customHeight="1" hidden="1">
      <c r="A1146" s="49" t="s">
        <v>155</v>
      </c>
      <c r="B1146" s="232" t="s">
        <v>0</v>
      </c>
      <c r="C1146" s="237"/>
      <c r="D1146" s="237"/>
      <c r="E1146" s="233"/>
      <c r="F1146" s="259" t="s">
        <v>168</v>
      </c>
      <c r="G1146" s="259"/>
      <c r="H1146" s="188" t="s">
        <v>174</v>
      </c>
      <c r="I1146" s="188" t="s">
        <v>175</v>
      </c>
      <c r="J1146" s="188" t="s">
        <v>176</v>
      </c>
      <c r="K1146" s="188" t="s">
        <v>177</v>
      </c>
      <c r="L1146" s="53"/>
      <c r="M1146" s="53"/>
      <c r="N1146" s="53"/>
      <c r="O1146" s="54"/>
      <c r="P1146" s="44"/>
    </row>
    <row r="1147" spans="1:16" ht="18.75" hidden="1">
      <c r="A1147" s="187">
        <v>1</v>
      </c>
      <c r="B1147" s="203">
        <v>2</v>
      </c>
      <c r="C1147" s="203"/>
      <c r="D1147" s="203"/>
      <c r="E1147" s="203"/>
      <c r="F1147" s="203">
        <v>3</v>
      </c>
      <c r="G1147" s="203"/>
      <c r="H1147" s="187">
        <v>4</v>
      </c>
      <c r="I1147" s="187">
        <v>5</v>
      </c>
      <c r="J1147" s="187">
        <v>6</v>
      </c>
      <c r="K1147" s="187">
        <v>7</v>
      </c>
      <c r="L1147" s="193"/>
      <c r="M1147" s="193"/>
      <c r="N1147" s="193"/>
      <c r="O1147" s="62"/>
      <c r="P1147" s="45"/>
    </row>
    <row r="1148" spans="1:16" ht="48.75" customHeight="1" hidden="1">
      <c r="A1148" s="49">
        <v>1</v>
      </c>
      <c r="B1148" s="256" t="s">
        <v>178</v>
      </c>
      <c r="C1148" s="257"/>
      <c r="D1148" s="257"/>
      <c r="E1148" s="258"/>
      <c r="F1148" s="203">
        <v>266</v>
      </c>
      <c r="G1148" s="203"/>
      <c r="H1148" s="49">
        <v>1</v>
      </c>
      <c r="I1148" s="49">
        <v>10</v>
      </c>
      <c r="J1148" s="52">
        <v>50</v>
      </c>
      <c r="K1148" s="151">
        <v>500</v>
      </c>
      <c r="L1148" s="53"/>
      <c r="M1148" s="53"/>
      <c r="N1148" s="53"/>
      <c r="O1148" s="54"/>
      <c r="P1148" s="44"/>
    </row>
    <row r="1149" spans="1:16" ht="18.75" hidden="1">
      <c r="A1149" s="49"/>
      <c r="B1149" s="201" t="s">
        <v>130</v>
      </c>
      <c r="C1149" s="226"/>
      <c r="D1149" s="226"/>
      <c r="E1149" s="202"/>
      <c r="F1149" s="203"/>
      <c r="G1149" s="203"/>
      <c r="H1149" s="49" t="s">
        <v>172</v>
      </c>
      <c r="I1149" s="49" t="s">
        <v>172</v>
      </c>
      <c r="J1149" s="49" t="s">
        <v>172</v>
      </c>
      <c r="K1149" s="151">
        <f>SUM(K1148:K1148)</f>
        <v>500</v>
      </c>
      <c r="L1149" s="53"/>
      <c r="M1149" s="53"/>
      <c r="N1149" s="53"/>
      <c r="O1149" s="54"/>
      <c r="P1149" s="46"/>
    </row>
    <row r="1150" spans="1:16" ht="18.75" hidden="1">
      <c r="A1150" s="56"/>
      <c r="B1150" s="145"/>
      <c r="C1150" s="145"/>
      <c r="D1150" s="145"/>
      <c r="E1150" s="145"/>
      <c r="F1150" s="55"/>
      <c r="G1150" s="55"/>
      <c r="H1150" s="56"/>
      <c r="I1150" s="56"/>
      <c r="J1150" s="56"/>
      <c r="K1150" s="152"/>
      <c r="L1150" s="53"/>
      <c r="M1150" s="53"/>
      <c r="N1150" s="53"/>
      <c r="O1150" s="54"/>
      <c r="P1150" s="46"/>
    </row>
    <row r="1151" spans="1:16" ht="18.75" hidden="1">
      <c r="A1151" s="53"/>
      <c r="B1151" s="53" t="s">
        <v>446</v>
      </c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4"/>
      <c r="P1151" s="44"/>
    </row>
    <row r="1152" spans="1:16" ht="18.75" hidden="1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4"/>
      <c r="P1152" s="44"/>
    </row>
    <row r="1153" spans="1:16" ht="18.75" hidden="1">
      <c r="A1153" s="34"/>
      <c r="B1153" s="53" t="s">
        <v>179</v>
      </c>
      <c r="C1153" s="34"/>
      <c r="D1153" s="140">
        <v>244</v>
      </c>
      <c r="E1153" s="140"/>
      <c r="F1153" s="56"/>
      <c r="G1153" s="53"/>
      <c r="H1153" s="53"/>
      <c r="I1153" s="53"/>
      <c r="J1153" s="53"/>
      <c r="K1153" s="53"/>
      <c r="L1153" s="53"/>
      <c r="M1153" s="53"/>
      <c r="N1153" s="53"/>
      <c r="O1153" s="54"/>
      <c r="P1153" s="44"/>
    </row>
    <row r="1154" spans="1:16" ht="18.75" hidden="1">
      <c r="A1154" s="34"/>
      <c r="B1154" s="53" t="s">
        <v>180</v>
      </c>
      <c r="C1154" s="93"/>
      <c r="D1154" s="93"/>
      <c r="E1154" s="140" t="s">
        <v>154</v>
      </c>
      <c r="F1154" s="140"/>
      <c r="G1154" s="140"/>
      <c r="H1154" s="140"/>
      <c r="I1154" s="140"/>
      <c r="J1154" s="140"/>
      <c r="K1154" s="53"/>
      <c r="L1154" s="53"/>
      <c r="M1154" s="53"/>
      <c r="N1154" s="53"/>
      <c r="O1154" s="54"/>
      <c r="P1154" s="44"/>
    </row>
    <row r="1155" spans="1:16" ht="18.75" hidden="1">
      <c r="A1155" s="53"/>
      <c r="B1155" s="53"/>
      <c r="C1155" s="56"/>
      <c r="D1155" s="56"/>
      <c r="E1155" s="56"/>
      <c r="F1155" s="56"/>
      <c r="G1155" s="53"/>
      <c r="H1155" s="53"/>
      <c r="I1155" s="53"/>
      <c r="J1155" s="53"/>
      <c r="K1155" s="53"/>
      <c r="L1155" s="53"/>
      <c r="M1155" s="53"/>
      <c r="N1155" s="53"/>
      <c r="O1155" s="54"/>
      <c r="P1155" s="44"/>
    </row>
    <row r="1156" spans="1:16" ht="18.75" hidden="1">
      <c r="A1156" s="34"/>
      <c r="B1156" s="153" t="s">
        <v>447</v>
      </c>
      <c r="C1156" s="153"/>
      <c r="D1156" s="153"/>
      <c r="E1156" s="153"/>
      <c r="F1156" s="153"/>
      <c r="G1156" s="153"/>
      <c r="H1156" s="153"/>
      <c r="I1156" s="153"/>
      <c r="J1156" s="153"/>
      <c r="K1156" s="193"/>
      <c r="L1156" s="193"/>
      <c r="M1156" s="53"/>
      <c r="N1156" s="53"/>
      <c r="O1156" s="54"/>
      <c r="P1156" s="44"/>
    </row>
    <row r="1157" spans="1:16" ht="18.75" hidden="1">
      <c r="A1157" s="34"/>
      <c r="B1157" s="153"/>
      <c r="C1157" s="153"/>
      <c r="D1157" s="153"/>
      <c r="E1157" s="153"/>
      <c r="F1157" s="153"/>
      <c r="G1157" s="153"/>
      <c r="H1157" s="153"/>
      <c r="I1157" s="153"/>
      <c r="J1157" s="153"/>
      <c r="K1157" s="193"/>
      <c r="L1157" s="193"/>
      <c r="M1157" s="53"/>
      <c r="N1157" s="53"/>
      <c r="O1157" s="54"/>
      <c r="P1157" s="44"/>
    </row>
    <row r="1158" spans="1:16" ht="75" customHeight="1" hidden="1">
      <c r="A1158" s="49" t="s">
        <v>155</v>
      </c>
      <c r="B1158" s="259" t="s">
        <v>156</v>
      </c>
      <c r="C1158" s="259"/>
      <c r="D1158" s="61" t="s">
        <v>168</v>
      </c>
      <c r="E1158" s="259" t="s">
        <v>195</v>
      </c>
      <c r="F1158" s="259"/>
      <c r="G1158" s="259" t="s">
        <v>196</v>
      </c>
      <c r="H1158" s="259"/>
      <c r="I1158" s="61" t="s">
        <v>197</v>
      </c>
      <c r="J1158" s="61" t="s">
        <v>177</v>
      </c>
      <c r="K1158" s="53"/>
      <c r="L1158" s="53"/>
      <c r="M1158" s="53"/>
      <c r="N1158" s="53"/>
      <c r="O1158" s="54"/>
      <c r="P1158" s="44"/>
    </row>
    <row r="1159" spans="1:16" ht="18.75" hidden="1">
      <c r="A1159" s="187">
        <v>1</v>
      </c>
      <c r="B1159" s="203">
        <v>2</v>
      </c>
      <c r="C1159" s="203"/>
      <c r="D1159" s="187">
        <v>3</v>
      </c>
      <c r="E1159" s="203">
        <v>4</v>
      </c>
      <c r="F1159" s="203"/>
      <c r="G1159" s="203">
        <v>5</v>
      </c>
      <c r="H1159" s="203"/>
      <c r="I1159" s="187">
        <v>6</v>
      </c>
      <c r="J1159" s="187">
        <v>7</v>
      </c>
      <c r="K1159" s="53"/>
      <c r="L1159" s="53"/>
      <c r="M1159" s="53"/>
      <c r="N1159" s="53"/>
      <c r="O1159" s="54"/>
      <c r="P1159" s="44"/>
    </row>
    <row r="1160" spans="1:16" ht="18.75" hidden="1">
      <c r="A1160" s="49">
        <v>1</v>
      </c>
      <c r="B1160" s="265" t="s">
        <v>198</v>
      </c>
      <c r="C1160" s="265"/>
      <c r="D1160" s="187">
        <v>221</v>
      </c>
      <c r="E1160" s="203">
        <v>2</v>
      </c>
      <c r="F1160" s="203"/>
      <c r="G1160" s="203">
        <v>12</v>
      </c>
      <c r="H1160" s="203"/>
      <c r="I1160" s="52">
        <f>J1160/G1160</f>
        <v>1550</v>
      </c>
      <c r="J1160" s="52">
        <f>15600+3000</f>
        <v>18600</v>
      </c>
      <c r="K1160" s="53"/>
      <c r="L1160" s="53"/>
      <c r="M1160" s="53"/>
      <c r="N1160" s="53"/>
      <c r="O1160" s="54"/>
      <c r="P1160" s="44"/>
    </row>
    <row r="1161" spans="1:16" ht="18.75" hidden="1">
      <c r="A1161" s="49">
        <v>2</v>
      </c>
      <c r="B1161" s="265" t="s">
        <v>199</v>
      </c>
      <c r="C1161" s="265"/>
      <c r="D1161" s="187">
        <v>221</v>
      </c>
      <c r="E1161" s="203">
        <v>1</v>
      </c>
      <c r="F1161" s="203"/>
      <c r="G1161" s="203">
        <v>12</v>
      </c>
      <c r="H1161" s="203"/>
      <c r="I1161" s="52">
        <f>ROUND(J1161/G1161,2)</f>
        <v>12316.27</v>
      </c>
      <c r="J1161" s="52">
        <v>147795.24</v>
      </c>
      <c r="K1161" s="53"/>
      <c r="L1161" s="53"/>
      <c r="M1161" s="53"/>
      <c r="N1161" s="53"/>
      <c r="O1161" s="54"/>
      <c r="P1161" s="44"/>
    </row>
    <row r="1162" spans="1:16" ht="18.75" hidden="1">
      <c r="A1162" s="49"/>
      <c r="B1162" s="203" t="s">
        <v>200</v>
      </c>
      <c r="C1162" s="203"/>
      <c r="D1162" s="187"/>
      <c r="E1162" s="203" t="s">
        <v>172</v>
      </c>
      <c r="F1162" s="203"/>
      <c r="G1162" s="203" t="s">
        <v>172</v>
      </c>
      <c r="H1162" s="203"/>
      <c r="I1162" s="49" t="s">
        <v>172</v>
      </c>
      <c r="J1162" s="52">
        <f>SUM(J1160:J1161)</f>
        <v>166395.24</v>
      </c>
      <c r="K1162" s="53"/>
      <c r="L1162" s="53"/>
      <c r="M1162" s="53"/>
      <c r="N1162" s="53"/>
      <c r="O1162" s="54"/>
      <c r="P1162" s="51"/>
    </row>
    <row r="1163" spans="1:16" ht="18.75" hidden="1">
      <c r="A1163" s="34"/>
      <c r="B1163" s="153"/>
      <c r="C1163" s="153"/>
      <c r="D1163" s="153"/>
      <c r="E1163" s="153"/>
      <c r="F1163" s="153"/>
      <c r="G1163" s="153"/>
      <c r="H1163" s="153"/>
      <c r="I1163" s="153"/>
      <c r="J1163" s="153"/>
      <c r="K1163" s="193"/>
      <c r="L1163" s="193"/>
      <c r="M1163" s="53"/>
      <c r="N1163" s="53"/>
      <c r="O1163" s="54"/>
      <c r="P1163" s="44"/>
    </row>
    <row r="1164" spans="1:16" ht="18.75" hidden="1">
      <c r="A1164" s="34"/>
      <c r="B1164" s="53" t="s">
        <v>448</v>
      </c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4"/>
      <c r="P1164" s="44"/>
    </row>
    <row r="1165" spans="1:16" ht="18.75" hidden="1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4"/>
      <c r="P1165" s="44"/>
    </row>
    <row r="1166" spans="1:16" ht="37.5" customHeight="1" hidden="1">
      <c r="A1166" s="49" t="s">
        <v>155</v>
      </c>
      <c r="B1166" s="259" t="s">
        <v>0</v>
      </c>
      <c r="C1166" s="259"/>
      <c r="D1166" s="259"/>
      <c r="E1166" s="259"/>
      <c r="F1166" s="259" t="s">
        <v>168</v>
      </c>
      <c r="G1166" s="259"/>
      <c r="H1166" s="61" t="s">
        <v>188</v>
      </c>
      <c r="I1166" s="61" t="s">
        <v>173</v>
      </c>
      <c r="J1166" s="53"/>
      <c r="K1166" s="53"/>
      <c r="L1166" s="53"/>
      <c r="M1166" s="53"/>
      <c r="N1166" s="53"/>
      <c r="O1166" s="54"/>
      <c r="P1166" s="44"/>
    </row>
    <row r="1167" spans="1:16" ht="18.75" hidden="1">
      <c r="A1167" s="187">
        <v>1</v>
      </c>
      <c r="B1167" s="203">
        <v>2</v>
      </c>
      <c r="C1167" s="203"/>
      <c r="D1167" s="203"/>
      <c r="E1167" s="203"/>
      <c r="F1167" s="203">
        <v>3</v>
      </c>
      <c r="G1167" s="203"/>
      <c r="H1167" s="187">
        <v>4</v>
      </c>
      <c r="I1167" s="187">
        <v>5</v>
      </c>
      <c r="J1167" s="193"/>
      <c r="K1167" s="193"/>
      <c r="L1167" s="193"/>
      <c r="M1167" s="193"/>
      <c r="N1167" s="193"/>
      <c r="O1167" s="62"/>
      <c r="P1167" s="45"/>
    </row>
    <row r="1168" spans="1:16" ht="18.75" customHeight="1" hidden="1">
      <c r="A1168" s="49">
        <v>1</v>
      </c>
      <c r="B1168" s="262" t="s">
        <v>235</v>
      </c>
      <c r="C1168" s="262"/>
      <c r="D1168" s="262"/>
      <c r="E1168" s="262"/>
      <c r="F1168" s="203">
        <v>226</v>
      </c>
      <c r="G1168" s="203"/>
      <c r="H1168" s="49">
        <v>1</v>
      </c>
      <c r="I1168" s="52">
        <v>23000</v>
      </c>
      <c r="J1168" s="53"/>
      <c r="K1168" s="53"/>
      <c r="L1168" s="53"/>
      <c r="M1168" s="53"/>
      <c r="N1168" s="53"/>
      <c r="O1168" s="54"/>
      <c r="P1168" s="44"/>
    </row>
    <row r="1169" spans="1:16" ht="18.75" customHeight="1" hidden="1">
      <c r="A1169" s="49">
        <v>2</v>
      </c>
      <c r="B1169" s="240" t="s">
        <v>276</v>
      </c>
      <c r="C1169" s="241"/>
      <c r="D1169" s="241"/>
      <c r="E1169" s="242"/>
      <c r="F1169" s="201">
        <v>226</v>
      </c>
      <c r="G1169" s="202"/>
      <c r="H1169" s="49">
        <v>2</v>
      </c>
      <c r="I1169" s="52">
        <v>200000</v>
      </c>
      <c r="J1169" s="53"/>
      <c r="K1169" s="53"/>
      <c r="L1169" s="53"/>
      <c r="M1169" s="53"/>
      <c r="N1169" s="53"/>
      <c r="O1169" s="54"/>
      <c r="P1169" s="44"/>
    </row>
    <row r="1170" spans="1:16" ht="18.75" customHeight="1" hidden="1">
      <c r="A1170" s="49">
        <v>3</v>
      </c>
      <c r="B1170" s="240" t="s">
        <v>371</v>
      </c>
      <c r="C1170" s="241"/>
      <c r="D1170" s="241"/>
      <c r="E1170" s="242"/>
      <c r="F1170" s="201">
        <v>226</v>
      </c>
      <c r="G1170" s="202"/>
      <c r="H1170" s="49">
        <v>1</v>
      </c>
      <c r="I1170" s="52">
        <v>10000</v>
      </c>
      <c r="J1170" s="53"/>
      <c r="K1170" s="53"/>
      <c r="L1170" s="53"/>
      <c r="M1170" s="53"/>
      <c r="N1170" s="53"/>
      <c r="O1170" s="54"/>
      <c r="P1170" s="44"/>
    </row>
    <row r="1171" spans="1:16" ht="18.75" hidden="1">
      <c r="A1171" s="49"/>
      <c r="B1171" s="201" t="s">
        <v>130</v>
      </c>
      <c r="C1171" s="226"/>
      <c r="D1171" s="226"/>
      <c r="E1171" s="202"/>
      <c r="F1171" s="203"/>
      <c r="G1171" s="203"/>
      <c r="H1171" s="49" t="s">
        <v>6</v>
      </c>
      <c r="I1171" s="52">
        <f>SUM(I1168:I1170)</f>
        <v>233000</v>
      </c>
      <c r="J1171" s="53"/>
      <c r="K1171" s="53"/>
      <c r="L1171" s="53"/>
      <c r="M1171" s="53"/>
      <c r="N1171" s="53"/>
      <c r="O1171" s="54"/>
      <c r="P1171" s="46"/>
    </row>
    <row r="1172" spans="1:16" ht="18.75" hidden="1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4"/>
      <c r="P1172" s="44"/>
    </row>
    <row r="1173" spans="1:16" ht="18.75" hidden="1">
      <c r="A1173" s="34"/>
      <c r="B1173" s="53" t="s">
        <v>449</v>
      </c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4"/>
      <c r="P1173" s="44"/>
    </row>
    <row r="1174" spans="1:16" ht="18.75" hidden="1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4"/>
      <c r="P1174" s="44"/>
    </row>
    <row r="1175" spans="1:16" ht="56.25" customHeight="1" hidden="1">
      <c r="A1175" s="49" t="s">
        <v>155</v>
      </c>
      <c r="B1175" s="259" t="s">
        <v>0</v>
      </c>
      <c r="C1175" s="259"/>
      <c r="D1175" s="259"/>
      <c r="E1175" s="259"/>
      <c r="F1175" s="259" t="s">
        <v>168</v>
      </c>
      <c r="G1175" s="259"/>
      <c r="H1175" s="61" t="s">
        <v>189</v>
      </c>
      <c r="I1175" s="61" t="s">
        <v>190</v>
      </c>
      <c r="J1175" s="61" t="s">
        <v>191</v>
      </c>
      <c r="K1175" s="53"/>
      <c r="L1175" s="53"/>
      <c r="M1175" s="53"/>
      <c r="N1175" s="53"/>
      <c r="O1175" s="54"/>
      <c r="P1175" s="44"/>
    </row>
    <row r="1176" spans="1:16" ht="18.75" hidden="1">
      <c r="A1176" s="187">
        <v>1</v>
      </c>
      <c r="B1176" s="203">
        <v>2</v>
      </c>
      <c r="C1176" s="203"/>
      <c r="D1176" s="203"/>
      <c r="E1176" s="203"/>
      <c r="F1176" s="203">
        <v>3</v>
      </c>
      <c r="G1176" s="203"/>
      <c r="H1176" s="187">
        <v>4</v>
      </c>
      <c r="I1176" s="187">
        <v>5</v>
      </c>
      <c r="J1176" s="187">
        <v>6</v>
      </c>
      <c r="K1176" s="193"/>
      <c r="L1176" s="193"/>
      <c r="M1176" s="193"/>
      <c r="N1176" s="193"/>
      <c r="O1176" s="62"/>
      <c r="P1176" s="45"/>
    </row>
    <row r="1177" spans="1:16" ht="18.75" hidden="1">
      <c r="A1177" s="49">
        <v>1</v>
      </c>
      <c r="B1177" s="211" t="s">
        <v>236</v>
      </c>
      <c r="C1177" s="211"/>
      <c r="D1177" s="211"/>
      <c r="E1177" s="211"/>
      <c r="F1177" s="203">
        <v>310</v>
      </c>
      <c r="G1177" s="203"/>
      <c r="H1177" s="48">
        <v>1500</v>
      </c>
      <c r="I1177" s="52">
        <f>J1177/H1177</f>
        <v>500</v>
      </c>
      <c r="J1177" s="52">
        <v>750000</v>
      </c>
      <c r="K1177" s="53"/>
      <c r="L1177" s="53"/>
      <c r="M1177" s="53"/>
      <c r="N1177" s="53"/>
      <c r="O1177" s="54"/>
      <c r="P1177" s="44"/>
    </row>
    <row r="1178" spans="1:16" ht="18.75" hidden="1">
      <c r="A1178" s="49"/>
      <c r="B1178" s="201" t="s">
        <v>130</v>
      </c>
      <c r="C1178" s="226"/>
      <c r="D1178" s="226"/>
      <c r="E1178" s="202"/>
      <c r="F1178" s="263"/>
      <c r="G1178" s="263"/>
      <c r="H1178" s="49"/>
      <c r="I1178" s="49" t="s">
        <v>6</v>
      </c>
      <c r="J1178" s="183">
        <f>SUM(J1177:J1177)</f>
        <v>750000</v>
      </c>
      <c r="K1178" s="53"/>
      <c r="L1178" s="53"/>
      <c r="M1178" s="53"/>
      <c r="N1178" s="53"/>
      <c r="O1178" s="54"/>
      <c r="P1178" s="47"/>
    </row>
    <row r="1179" spans="1:16" ht="18.75" hidden="1">
      <c r="A1179" s="56"/>
      <c r="B1179" s="56"/>
      <c r="C1179" s="56"/>
      <c r="D1179" s="56"/>
      <c r="E1179" s="56"/>
      <c r="F1179" s="56"/>
      <c r="G1179" s="152"/>
      <c r="H1179" s="53"/>
      <c r="I1179" s="53"/>
      <c r="J1179" s="53"/>
      <c r="K1179" s="53"/>
      <c r="L1179" s="53"/>
      <c r="M1179" s="53"/>
      <c r="N1179" s="53"/>
      <c r="O1179" s="54"/>
      <c r="P1179" s="46"/>
    </row>
    <row r="1180" spans="1:16" ht="18.75" hidden="1">
      <c r="A1180" s="34"/>
      <c r="B1180" s="53" t="s">
        <v>256</v>
      </c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4"/>
      <c r="P1180" s="44"/>
    </row>
    <row r="1181" spans="1:16" ht="18.75" hidden="1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4"/>
      <c r="P1181" s="44"/>
    </row>
    <row r="1182" spans="1:16" ht="56.25" hidden="1">
      <c r="A1182" s="49" t="s">
        <v>155</v>
      </c>
      <c r="B1182" s="259" t="s">
        <v>0</v>
      </c>
      <c r="C1182" s="259"/>
      <c r="D1182" s="259"/>
      <c r="E1182" s="259"/>
      <c r="F1182" s="259" t="s">
        <v>168</v>
      </c>
      <c r="G1182" s="259"/>
      <c r="H1182" s="61" t="s">
        <v>189</v>
      </c>
      <c r="I1182" s="61" t="s">
        <v>190</v>
      </c>
      <c r="J1182" s="61" t="s">
        <v>191</v>
      </c>
      <c r="K1182" s="53"/>
      <c r="L1182" s="53"/>
      <c r="M1182" s="53"/>
      <c r="N1182" s="53"/>
      <c r="O1182" s="54"/>
      <c r="P1182" s="44"/>
    </row>
    <row r="1183" spans="1:16" ht="18.75" hidden="1">
      <c r="A1183" s="187">
        <v>1</v>
      </c>
      <c r="B1183" s="203">
        <v>2</v>
      </c>
      <c r="C1183" s="203"/>
      <c r="D1183" s="203"/>
      <c r="E1183" s="203"/>
      <c r="F1183" s="203">
        <v>3</v>
      </c>
      <c r="G1183" s="203"/>
      <c r="H1183" s="187">
        <v>4</v>
      </c>
      <c r="I1183" s="187">
        <v>5</v>
      </c>
      <c r="J1183" s="187">
        <v>6</v>
      </c>
      <c r="K1183" s="193"/>
      <c r="L1183" s="193"/>
      <c r="M1183" s="193"/>
      <c r="N1183" s="193"/>
      <c r="O1183" s="62"/>
      <c r="P1183" s="45"/>
    </row>
    <row r="1184" spans="1:16" ht="18.75" hidden="1">
      <c r="A1184" s="49">
        <v>1</v>
      </c>
      <c r="B1184" s="211"/>
      <c r="C1184" s="211"/>
      <c r="D1184" s="211"/>
      <c r="E1184" s="211"/>
      <c r="F1184" s="203">
        <v>346</v>
      </c>
      <c r="G1184" s="203"/>
      <c r="H1184" s="49"/>
      <c r="I1184" s="52" t="e">
        <f>J1184/H1184</f>
        <v>#DIV/0!</v>
      </c>
      <c r="J1184" s="52"/>
      <c r="K1184" s="53"/>
      <c r="L1184" s="53"/>
      <c r="M1184" s="53"/>
      <c r="N1184" s="53"/>
      <c r="O1184" s="54"/>
      <c r="P1184" s="44"/>
    </row>
    <row r="1185" spans="1:16" ht="18.75" hidden="1">
      <c r="A1185" s="49">
        <v>2</v>
      </c>
      <c r="B1185" s="211"/>
      <c r="C1185" s="211"/>
      <c r="D1185" s="211"/>
      <c r="E1185" s="211"/>
      <c r="F1185" s="203">
        <v>346</v>
      </c>
      <c r="G1185" s="203"/>
      <c r="H1185" s="49"/>
      <c r="I1185" s="52" t="e">
        <f>J1185/H1185</f>
        <v>#DIV/0!</v>
      </c>
      <c r="J1185" s="52"/>
      <c r="K1185" s="53"/>
      <c r="L1185" s="53"/>
      <c r="M1185" s="53"/>
      <c r="N1185" s="53"/>
      <c r="O1185" s="54"/>
      <c r="P1185" s="44"/>
    </row>
    <row r="1186" spans="1:16" ht="18.75" hidden="1">
      <c r="A1186" s="49"/>
      <c r="B1186" s="265" t="s">
        <v>130</v>
      </c>
      <c r="C1186" s="265"/>
      <c r="D1186" s="265"/>
      <c r="E1186" s="265"/>
      <c r="F1186" s="263"/>
      <c r="G1186" s="263"/>
      <c r="H1186" s="49"/>
      <c r="I1186" s="49" t="s">
        <v>6</v>
      </c>
      <c r="J1186" s="52">
        <f>SUM(J1184:J1185)</f>
        <v>0</v>
      </c>
      <c r="K1186" s="53"/>
      <c r="L1186" s="53"/>
      <c r="M1186" s="53"/>
      <c r="N1186" s="53"/>
      <c r="O1186" s="54"/>
      <c r="P1186" s="46"/>
    </row>
    <row r="1187" spans="1:16" ht="18.75" hidden="1">
      <c r="A1187" s="56"/>
      <c r="B1187" s="145"/>
      <c r="C1187" s="145"/>
      <c r="D1187" s="145"/>
      <c r="E1187" s="145"/>
      <c r="F1187" s="62"/>
      <c r="G1187" s="62"/>
      <c r="H1187" s="56"/>
      <c r="I1187" s="56"/>
      <c r="J1187" s="63"/>
      <c r="K1187" s="53"/>
      <c r="L1187" s="53"/>
      <c r="M1187" s="53"/>
      <c r="N1187" s="53"/>
      <c r="O1187" s="54"/>
      <c r="P1187" s="46"/>
    </row>
    <row r="1188" spans="1:16" ht="18.75" hidden="1">
      <c r="A1188" s="53"/>
      <c r="B1188" s="53" t="s">
        <v>450</v>
      </c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4"/>
      <c r="P1188" s="46"/>
    </row>
    <row r="1189" spans="1:16" ht="18.75" hidden="1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4"/>
      <c r="P1189" s="46"/>
    </row>
    <row r="1190" spans="1:16" ht="56.25" hidden="1">
      <c r="A1190" s="49" t="s">
        <v>155</v>
      </c>
      <c r="B1190" s="259" t="s">
        <v>0</v>
      </c>
      <c r="C1190" s="259"/>
      <c r="D1190" s="259"/>
      <c r="E1190" s="259" t="s">
        <v>168</v>
      </c>
      <c r="F1190" s="259"/>
      <c r="G1190" s="259" t="s">
        <v>189</v>
      </c>
      <c r="H1190" s="259"/>
      <c r="I1190" s="61" t="s">
        <v>190</v>
      </c>
      <c r="J1190" s="61" t="s">
        <v>219</v>
      </c>
      <c r="K1190" s="53"/>
      <c r="L1190" s="53"/>
      <c r="M1190" s="53"/>
      <c r="N1190" s="53"/>
      <c r="O1190" s="54"/>
      <c r="P1190" s="46"/>
    </row>
    <row r="1191" spans="1:16" ht="18.75" hidden="1">
      <c r="A1191" s="187">
        <v>1</v>
      </c>
      <c r="B1191" s="203">
        <v>2</v>
      </c>
      <c r="C1191" s="203"/>
      <c r="D1191" s="203"/>
      <c r="E1191" s="203">
        <v>3</v>
      </c>
      <c r="F1191" s="203"/>
      <c r="G1191" s="203">
        <v>4</v>
      </c>
      <c r="H1191" s="203"/>
      <c r="I1191" s="187">
        <v>5</v>
      </c>
      <c r="J1191" s="187">
        <v>6</v>
      </c>
      <c r="K1191" s="193"/>
      <c r="L1191" s="53"/>
      <c r="M1191" s="53"/>
      <c r="N1191" s="53"/>
      <c r="O1191" s="54"/>
      <c r="P1191" s="46"/>
    </row>
    <row r="1192" spans="1:16" ht="18.75" hidden="1">
      <c r="A1192" s="49">
        <v>1</v>
      </c>
      <c r="B1192" s="198" t="s">
        <v>343</v>
      </c>
      <c r="C1192" s="199"/>
      <c r="D1192" s="200"/>
      <c r="E1192" s="201">
        <v>346</v>
      </c>
      <c r="F1192" s="202"/>
      <c r="G1192" s="201">
        <v>44</v>
      </c>
      <c r="H1192" s="202"/>
      <c r="I1192" s="52">
        <f>J1192/G1192</f>
        <v>113.63636363636364</v>
      </c>
      <c r="J1192" s="52">
        <v>5000</v>
      </c>
      <c r="K1192" s="53"/>
      <c r="L1192" s="53"/>
      <c r="M1192" s="53"/>
      <c r="N1192" s="53"/>
      <c r="O1192" s="54"/>
      <c r="P1192" s="46"/>
    </row>
    <row r="1193" spans="1:16" ht="18.75" hidden="1">
      <c r="A1193" s="49">
        <v>2</v>
      </c>
      <c r="B1193" s="198" t="s">
        <v>284</v>
      </c>
      <c r="C1193" s="199"/>
      <c r="D1193" s="200"/>
      <c r="E1193" s="201">
        <v>346</v>
      </c>
      <c r="F1193" s="202"/>
      <c r="G1193" s="201">
        <v>100</v>
      </c>
      <c r="H1193" s="202"/>
      <c r="I1193" s="52">
        <f>J1193/G1193</f>
        <v>148.7476</v>
      </c>
      <c r="J1193" s="52">
        <v>14874.76</v>
      </c>
      <c r="K1193" s="53"/>
      <c r="L1193" s="53"/>
      <c r="M1193" s="53"/>
      <c r="N1193" s="53"/>
      <c r="O1193" s="54"/>
      <c r="P1193" s="46"/>
    </row>
    <row r="1194" spans="1:16" ht="18.75" hidden="1">
      <c r="A1194" s="49"/>
      <c r="B1194" s="201" t="s">
        <v>130</v>
      </c>
      <c r="C1194" s="226"/>
      <c r="D1194" s="202"/>
      <c r="E1194" s="203"/>
      <c r="F1194" s="203"/>
      <c r="G1194" s="203"/>
      <c r="H1194" s="203"/>
      <c r="I1194" s="49" t="s">
        <v>6</v>
      </c>
      <c r="J1194" s="52">
        <f>SUM(J1192:J1193)</f>
        <v>19874.760000000002</v>
      </c>
      <c r="K1194" s="53"/>
      <c r="L1194" s="53"/>
      <c r="M1194" s="53"/>
      <c r="N1194" s="53"/>
      <c r="O1194" s="54"/>
      <c r="P1194" s="46"/>
    </row>
    <row r="1195" spans="1:16" ht="18.75" hidden="1">
      <c r="A1195" s="56"/>
      <c r="B1195" s="145"/>
      <c r="C1195" s="145"/>
      <c r="D1195" s="145"/>
      <c r="E1195" s="145"/>
      <c r="F1195" s="62"/>
      <c r="G1195" s="62"/>
      <c r="H1195" s="56"/>
      <c r="I1195" s="56"/>
      <c r="J1195" s="63"/>
      <c r="K1195" s="53"/>
      <c r="L1195" s="53"/>
      <c r="M1195" s="53"/>
      <c r="N1195" s="53"/>
      <c r="O1195" s="54"/>
      <c r="P1195" s="46"/>
    </row>
    <row r="1196" spans="1:16" ht="18.75" hidden="1">
      <c r="A1196" s="53"/>
      <c r="B1196" s="53" t="s">
        <v>451</v>
      </c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4"/>
      <c r="P1196" s="46"/>
    </row>
    <row r="1197" spans="1:16" ht="18.75" hidden="1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4"/>
      <c r="P1197" s="46"/>
    </row>
    <row r="1198" spans="1:16" ht="56.25" hidden="1">
      <c r="A1198" s="49" t="s">
        <v>155</v>
      </c>
      <c r="B1198" s="259" t="s">
        <v>0</v>
      </c>
      <c r="C1198" s="259"/>
      <c r="D1198" s="259"/>
      <c r="E1198" s="259" t="s">
        <v>168</v>
      </c>
      <c r="F1198" s="259"/>
      <c r="G1198" s="259" t="s">
        <v>189</v>
      </c>
      <c r="H1198" s="259"/>
      <c r="I1198" s="61" t="s">
        <v>190</v>
      </c>
      <c r="J1198" s="61" t="s">
        <v>219</v>
      </c>
      <c r="K1198" s="53"/>
      <c r="L1198" s="53"/>
      <c r="M1198" s="53"/>
      <c r="N1198" s="53"/>
      <c r="O1198" s="54"/>
      <c r="P1198" s="46"/>
    </row>
    <row r="1199" spans="1:16" ht="18.75" hidden="1">
      <c r="A1199" s="187">
        <v>1</v>
      </c>
      <c r="B1199" s="203">
        <v>2</v>
      </c>
      <c r="C1199" s="203"/>
      <c r="D1199" s="203"/>
      <c r="E1199" s="203">
        <v>3</v>
      </c>
      <c r="F1199" s="203"/>
      <c r="G1199" s="203">
        <v>4</v>
      </c>
      <c r="H1199" s="203"/>
      <c r="I1199" s="187">
        <v>5</v>
      </c>
      <c r="J1199" s="187">
        <v>6</v>
      </c>
      <c r="K1199" s="193"/>
      <c r="L1199" s="53"/>
      <c r="M1199" s="53"/>
      <c r="N1199" s="53"/>
      <c r="O1199" s="54"/>
      <c r="P1199" s="46"/>
    </row>
    <row r="1200" spans="1:16" ht="18.75" hidden="1">
      <c r="A1200" s="49">
        <v>1</v>
      </c>
      <c r="B1200" s="211" t="s">
        <v>335</v>
      </c>
      <c r="C1200" s="211"/>
      <c r="D1200" s="211"/>
      <c r="E1200" s="203">
        <v>349</v>
      </c>
      <c r="F1200" s="203"/>
      <c r="G1200" s="203">
        <v>370</v>
      </c>
      <c r="H1200" s="203"/>
      <c r="I1200" s="52">
        <f>J1200/G1200</f>
        <v>108.10810810810811</v>
      </c>
      <c r="J1200" s="52">
        <v>40000</v>
      </c>
      <c r="K1200" s="53"/>
      <c r="L1200" s="53"/>
      <c r="M1200" s="53"/>
      <c r="N1200" s="53"/>
      <c r="O1200" s="54"/>
      <c r="P1200" s="46"/>
    </row>
    <row r="1201" spans="1:16" ht="18.75" hidden="1">
      <c r="A1201" s="49"/>
      <c r="B1201" s="201" t="s">
        <v>130</v>
      </c>
      <c r="C1201" s="226"/>
      <c r="D1201" s="202"/>
      <c r="E1201" s="203"/>
      <c r="F1201" s="203"/>
      <c r="G1201" s="203"/>
      <c r="H1201" s="203"/>
      <c r="I1201" s="49" t="s">
        <v>6</v>
      </c>
      <c r="J1201" s="52">
        <f>SUM(J1200:J1200)</f>
        <v>40000</v>
      </c>
      <c r="K1201" s="53"/>
      <c r="L1201" s="53"/>
      <c r="M1201" s="53"/>
      <c r="N1201" s="53"/>
      <c r="O1201" s="54"/>
      <c r="P1201" s="46"/>
    </row>
    <row r="1202" spans="1:16" ht="18.75" hidden="1">
      <c r="A1202" s="56"/>
      <c r="B1202" s="145"/>
      <c r="C1202" s="145"/>
      <c r="D1202" s="145"/>
      <c r="E1202" s="145"/>
      <c r="F1202" s="62"/>
      <c r="G1202" s="62"/>
      <c r="H1202" s="56"/>
      <c r="I1202" s="56"/>
      <c r="J1202" s="63"/>
      <c r="K1202" s="53"/>
      <c r="L1202" s="53"/>
      <c r="M1202" s="53"/>
      <c r="N1202" s="53"/>
      <c r="O1202" s="54"/>
      <c r="P1202" s="46"/>
    </row>
    <row r="1203" spans="1:16" ht="18.75" hidden="1">
      <c r="A1203" s="53"/>
      <c r="B1203" s="53" t="s">
        <v>452</v>
      </c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4"/>
      <c r="P1203" s="44"/>
    </row>
    <row r="1204" spans="1:16" ht="18.75" hidden="1">
      <c r="A1204" s="53"/>
      <c r="B1204" s="53" t="s">
        <v>152</v>
      </c>
      <c r="C1204" s="93"/>
      <c r="D1204" s="140">
        <v>100</v>
      </c>
      <c r="E1204" s="140"/>
      <c r="F1204" s="140"/>
      <c r="G1204" s="140"/>
      <c r="H1204" s="56"/>
      <c r="I1204" s="53"/>
      <c r="J1204" s="53"/>
      <c r="K1204" s="53"/>
      <c r="L1204" s="53"/>
      <c r="M1204" s="53"/>
      <c r="N1204" s="53"/>
      <c r="O1204" s="54"/>
      <c r="P1204" s="44"/>
    </row>
    <row r="1205" spans="1:16" ht="18.75" hidden="1">
      <c r="A1205" s="53"/>
      <c r="B1205" s="53" t="s">
        <v>153</v>
      </c>
      <c r="C1205" s="53"/>
      <c r="D1205" s="93"/>
      <c r="E1205" s="93"/>
      <c r="F1205" s="142" t="s">
        <v>154</v>
      </c>
      <c r="G1205" s="142"/>
      <c r="H1205" s="142"/>
      <c r="I1205" s="142"/>
      <c r="J1205" s="56"/>
      <c r="K1205" s="53"/>
      <c r="L1205" s="53"/>
      <c r="M1205" s="53"/>
      <c r="N1205" s="53"/>
      <c r="O1205" s="54"/>
      <c r="P1205" s="44"/>
    </row>
    <row r="1206" spans="1:16" ht="18.75" hidden="1">
      <c r="A1206" s="53"/>
      <c r="B1206" s="53"/>
      <c r="C1206" s="53"/>
      <c r="D1206" s="56"/>
      <c r="E1206" s="56"/>
      <c r="F1206" s="56"/>
      <c r="G1206" s="56"/>
      <c r="H1206" s="56"/>
      <c r="I1206" s="53"/>
      <c r="J1206" s="53"/>
      <c r="K1206" s="53"/>
      <c r="L1206" s="53"/>
      <c r="M1206" s="53"/>
      <c r="N1206" s="53"/>
      <c r="O1206" s="54"/>
      <c r="P1206" s="44"/>
    </row>
    <row r="1207" spans="1:16" ht="18.75" hidden="1">
      <c r="A1207" s="53"/>
      <c r="B1207" s="53" t="s">
        <v>453</v>
      </c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4"/>
      <c r="P1207" s="44"/>
    </row>
    <row r="1208" spans="1:16" ht="18.75" hidden="1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4"/>
      <c r="P1208" s="44"/>
    </row>
    <row r="1209" spans="1:16" ht="56.25" customHeight="1" hidden="1">
      <c r="A1209" s="49" t="s">
        <v>155</v>
      </c>
      <c r="B1209" s="232" t="s">
        <v>156</v>
      </c>
      <c r="C1209" s="237"/>
      <c r="D1209" s="237"/>
      <c r="E1209" s="233"/>
      <c r="F1209" s="259" t="s">
        <v>157</v>
      </c>
      <c r="G1209" s="259"/>
      <c r="H1209" s="61" t="s">
        <v>158</v>
      </c>
      <c r="I1209" s="61" t="s">
        <v>159</v>
      </c>
      <c r="J1209" s="259" t="s">
        <v>160</v>
      </c>
      <c r="K1209" s="259"/>
      <c r="L1209" s="53"/>
      <c r="M1209" s="53"/>
      <c r="N1209" s="53"/>
      <c r="O1209" s="155"/>
      <c r="P1209" s="50"/>
    </row>
    <row r="1210" spans="1:16" ht="18.75" customHeight="1" hidden="1">
      <c r="A1210" s="187">
        <v>1</v>
      </c>
      <c r="B1210" s="227">
        <v>2</v>
      </c>
      <c r="C1210" s="229"/>
      <c r="D1210" s="229"/>
      <c r="E1210" s="228"/>
      <c r="F1210" s="227">
        <v>3</v>
      </c>
      <c r="G1210" s="228"/>
      <c r="H1210" s="191">
        <v>4</v>
      </c>
      <c r="I1210" s="119">
        <v>5</v>
      </c>
      <c r="J1210" s="227">
        <v>6</v>
      </c>
      <c r="K1210" s="228"/>
      <c r="L1210" s="53"/>
      <c r="M1210" s="53"/>
      <c r="N1210" s="53"/>
      <c r="O1210" s="155"/>
      <c r="P1210" s="50"/>
    </row>
    <row r="1211" spans="1:16" ht="18.75" hidden="1">
      <c r="A1211" s="49">
        <v>1</v>
      </c>
      <c r="B1211" s="265" t="s">
        <v>161</v>
      </c>
      <c r="C1211" s="265"/>
      <c r="D1211" s="265"/>
      <c r="E1211" s="265"/>
      <c r="F1211" s="203">
        <v>211</v>
      </c>
      <c r="G1211" s="203"/>
      <c r="H1211" s="52">
        <f>J1211/I1211</f>
        <v>43475</v>
      </c>
      <c r="I1211" s="147">
        <v>12</v>
      </c>
      <c r="J1211" s="215">
        <v>521700</v>
      </c>
      <c r="K1211" s="215"/>
      <c r="L1211" s="53"/>
      <c r="M1211" s="53"/>
      <c r="N1211" s="53"/>
      <c r="O1211" s="54"/>
      <c r="P1211" s="44"/>
    </row>
    <row r="1212" spans="1:16" ht="18.75" hidden="1">
      <c r="A1212" s="49"/>
      <c r="B1212" s="201" t="s">
        <v>130</v>
      </c>
      <c r="C1212" s="226"/>
      <c r="D1212" s="226"/>
      <c r="E1212" s="202"/>
      <c r="F1212" s="263"/>
      <c r="G1212" s="263"/>
      <c r="H1212" s="121" t="s">
        <v>162</v>
      </c>
      <c r="I1212" s="122"/>
      <c r="J1212" s="215">
        <f>J1211</f>
        <v>521700</v>
      </c>
      <c r="K1212" s="215"/>
      <c r="L1212" s="53"/>
      <c r="M1212" s="53"/>
      <c r="N1212" s="53"/>
      <c r="O1212" s="54"/>
      <c r="P1212" s="46"/>
    </row>
    <row r="1213" spans="1:16" ht="18.75" hidden="1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4"/>
      <c r="P1213" s="44"/>
    </row>
    <row r="1214" spans="1:16" ht="18.75" hidden="1">
      <c r="A1214" s="53"/>
      <c r="B1214" s="53" t="s">
        <v>454</v>
      </c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4"/>
      <c r="P1214" s="44"/>
    </row>
    <row r="1215" spans="1:16" ht="18.75" hidden="1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4"/>
      <c r="P1215" s="44"/>
    </row>
    <row r="1216" spans="1:16" ht="93.75" hidden="1">
      <c r="A1216" s="49" t="s">
        <v>155</v>
      </c>
      <c r="B1216" s="203" t="s">
        <v>167</v>
      </c>
      <c r="C1216" s="203"/>
      <c r="D1216" s="203"/>
      <c r="E1216" s="203"/>
      <c r="F1216" s="259" t="s">
        <v>168</v>
      </c>
      <c r="G1216" s="259"/>
      <c r="H1216" s="61" t="s">
        <v>169</v>
      </c>
      <c r="I1216" s="259" t="s">
        <v>170</v>
      </c>
      <c r="J1216" s="259"/>
      <c r="K1216" s="53"/>
      <c r="L1216" s="53"/>
      <c r="M1216" s="53"/>
      <c r="N1216" s="53"/>
      <c r="O1216" s="54"/>
      <c r="P1216" s="44"/>
    </row>
    <row r="1217" spans="1:16" ht="18.75" hidden="1">
      <c r="A1217" s="187">
        <v>1</v>
      </c>
      <c r="B1217" s="203">
        <v>2</v>
      </c>
      <c r="C1217" s="203"/>
      <c r="D1217" s="203"/>
      <c r="E1217" s="203"/>
      <c r="F1217" s="203">
        <v>3</v>
      </c>
      <c r="G1217" s="203"/>
      <c r="H1217" s="187">
        <v>4</v>
      </c>
      <c r="I1217" s="203">
        <v>5</v>
      </c>
      <c r="J1217" s="203"/>
      <c r="K1217" s="53"/>
      <c r="L1217" s="53"/>
      <c r="M1217" s="53"/>
      <c r="N1217" s="53"/>
      <c r="O1217" s="54"/>
      <c r="P1217" s="44"/>
    </row>
    <row r="1218" spans="1:16" ht="18.75" customHeight="1" hidden="1">
      <c r="A1218" s="49">
        <v>1</v>
      </c>
      <c r="B1218" s="204" t="s">
        <v>171</v>
      </c>
      <c r="C1218" s="205"/>
      <c r="D1218" s="205"/>
      <c r="E1218" s="206"/>
      <c r="F1218" s="203">
        <v>213</v>
      </c>
      <c r="G1218" s="203"/>
      <c r="H1218" s="123">
        <v>30.2</v>
      </c>
      <c r="I1218" s="215">
        <v>157553.4</v>
      </c>
      <c r="J1218" s="215"/>
      <c r="K1218" s="53"/>
      <c r="L1218" s="53"/>
      <c r="M1218" s="53"/>
      <c r="N1218" s="53"/>
      <c r="O1218" s="54"/>
      <c r="P1218" s="44"/>
    </row>
    <row r="1219" spans="1:16" ht="18.75" hidden="1">
      <c r="A1219" s="49"/>
      <c r="B1219" s="203" t="s">
        <v>130</v>
      </c>
      <c r="C1219" s="203"/>
      <c r="D1219" s="203"/>
      <c r="E1219" s="203"/>
      <c r="F1219" s="203"/>
      <c r="G1219" s="203"/>
      <c r="H1219" s="49" t="s">
        <v>172</v>
      </c>
      <c r="I1219" s="215">
        <f>SUM(I1218:I1218)</f>
        <v>157553.4</v>
      </c>
      <c r="J1219" s="215"/>
      <c r="K1219" s="53"/>
      <c r="L1219" s="53"/>
      <c r="M1219" s="53"/>
      <c r="N1219" s="53"/>
      <c r="O1219" s="54"/>
      <c r="P1219" s="46"/>
    </row>
    <row r="1220" spans="1:16" ht="18.75" hidden="1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4"/>
      <c r="P1220" s="44"/>
    </row>
    <row r="1221" spans="1:16" ht="18.75" hidden="1">
      <c r="A1221" s="53"/>
      <c r="B1221" s="53" t="s">
        <v>455</v>
      </c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4"/>
      <c r="P1221" s="44"/>
    </row>
    <row r="1222" spans="1:16" ht="18.75" hidden="1">
      <c r="A1222" s="35"/>
      <c r="B1222" s="53" t="s">
        <v>179</v>
      </c>
      <c r="C1222" s="53"/>
      <c r="D1222" s="140">
        <v>247</v>
      </c>
      <c r="E1222" s="140"/>
      <c r="F1222" s="140"/>
      <c r="G1222" s="56"/>
      <c r="H1222" s="53"/>
      <c r="I1222" s="53"/>
      <c r="J1222" s="53"/>
      <c r="K1222" s="53"/>
      <c r="L1222" s="53"/>
      <c r="M1222" s="53"/>
      <c r="N1222" s="53"/>
      <c r="O1222" s="54"/>
      <c r="P1222" s="44"/>
    </row>
    <row r="1223" spans="1:16" ht="18.75" hidden="1">
      <c r="A1223" s="35"/>
      <c r="B1223" s="53" t="s">
        <v>153</v>
      </c>
      <c r="C1223" s="53"/>
      <c r="D1223" s="93"/>
      <c r="E1223" s="93"/>
      <c r="F1223" s="142" t="s">
        <v>154</v>
      </c>
      <c r="G1223" s="56"/>
      <c r="H1223" s="53"/>
      <c r="I1223" s="53"/>
      <c r="J1223" s="53"/>
      <c r="K1223" s="53"/>
      <c r="L1223" s="53"/>
      <c r="M1223" s="53"/>
      <c r="N1223" s="53"/>
      <c r="O1223" s="54"/>
      <c r="P1223" s="44"/>
    </row>
    <row r="1224" spans="1:16" ht="18.75" hidden="1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4"/>
      <c r="P1224" s="44"/>
    </row>
    <row r="1225" spans="1:16" ht="18.75" hidden="1">
      <c r="A1225" s="53"/>
      <c r="B1225" s="53" t="s">
        <v>428</v>
      </c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4"/>
      <c r="P1225" s="44"/>
    </row>
    <row r="1226" spans="1:16" ht="18.75" hidden="1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4"/>
      <c r="P1226" s="44"/>
    </row>
    <row r="1227" spans="1:16" ht="56.25" customHeight="1" hidden="1">
      <c r="A1227" s="49" t="s">
        <v>155</v>
      </c>
      <c r="B1227" s="259" t="s">
        <v>0</v>
      </c>
      <c r="C1227" s="259"/>
      <c r="D1227" s="259"/>
      <c r="E1227" s="259" t="s">
        <v>168</v>
      </c>
      <c r="F1227" s="259"/>
      <c r="G1227" s="259" t="s">
        <v>201</v>
      </c>
      <c r="H1227" s="259"/>
      <c r="I1227" s="61" t="s">
        <v>202</v>
      </c>
      <c r="J1227" s="61" t="s">
        <v>203</v>
      </c>
      <c r="K1227" s="61" t="s">
        <v>177</v>
      </c>
      <c r="L1227" s="53"/>
      <c r="M1227" s="53"/>
      <c r="N1227" s="53"/>
      <c r="O1227" s="54"/>
      <c r="P1227" s="44"/>
    </row>
    <row r="1228" spans="1:16" ht="18.75" hidden="1">
      <c r="A1228" s="187">
        <v>1</v>
      </c>
      <c r="B1228" s="203">
        <v>2</v>
      </c>
      <c r="C1228" s="203"/>
      <c r="D1228" s="203"/>
      <c r="E1228" s="203">
        <v>3</v>
      </c>
      <c r="F1228" s="203"/>
      <c r="G1228" s="203">
        <v>4</v>
      </c>
      <c r="H1228" s="203"/>
      <c r="I1228" s="187">
        <v>5</v>
      </c>
      <c r="J1228" s="187">
        <v>6</v>
      </c>
      <c r="K1228" s="187">
        <v>7</v>
      </c>
      <c r="L1228" s="53"/>
      <c r="M1228" s="53"/>
      <c r="N1228" s="53"/>
      <c r="O1228" s="54"/>
      <c r="P1228" s="44"/>
    </row>
    <row r="1229" spans="1:16" ht="18.75" customHeight="1" hidden="1">
      <c r="A1229" s="49">
        <v>1</v>
      </c>
      <c r="B1229" s="274" t="s">
        <v>237</v>
      </c>
      <c r="C1229" s="274"/>
      <c r="D1229" s="274"/>
      <c r="E1229" s="203">
        <v>223</v>
      </c>
      <c r="F1229" s="203"/>
      <c r="G1229" s="275">
        <v>625.71</v>
      </c>
      <c r="H1229" s="275"/>
      <c r="I1229" s="52">
        <v>2966.5</v>
      </c>
      <c r="J1229" s="49"/>
      <c r="K1229" s="52">
        <f>ROUND(G1229*I1229,2)-242468.72-170000-12384-100000-19800-4304.2-28945.44+150000+157019.78-12734.14-82348.55-8660.71-226555.44</f>
        <v>1254987.3000000003</v>
      </c>
      <c r="L1229" s="53"/>
      <c r="M1229" s="53"/>
      <c r="N1229" s="53"/>
      <c r="O1229" s="54"/>
      <c r="P1229" s="44"/>
    </row>
    <row r="1230" spans="1:16" ht="18.75" customHeight="1" hidden="1">
      <c r="A1230" s="49">
        <v>2</v>
      </c>
      <c r="B1230" s="274" t="s">
        <v>204</v>
      </c>
      <c r="C1230" s="274"/>
      <c r="D1230" s="274"/>
      <c r="E1230" s="203">
        <v>223</v>
      </c>
      <c r="F1230" s="203"/>
      <c r="G1230" s="275">
        <v>148.902</v>
      </c>
      <c r="H1230" s="275"/>
      <c r="I1230" s="52">
        <v>9364.99</v>
      </c>
      <c r="J1230" s="49"/>
      <c r="K1230" s="52">
        <f>ROUND(G1230*I1230*1000,2)/1000-119665.74-202223.42-212500-1715.53-3016.23+82348.55</f>
        <v>937693.3709800001</v>
      </c>
      <c r="L1230" s="53"/>
      <c r="M1230" s="53"/>
      <c r="N1230" s="53"/>
      <c r="O1230" s="54"/>
      <c r="P1230" s="44"/>
    </row>
    <row r="1231" spans="1:16" ht="18.75" hidden="1">
      <c r="A1231" s="49"/>
      <c r="B1231" s="201" t="s">
        <v>130</v>
      </c>
      <c r="C1231" s="226"/>
      <c r="D1231" s="202"/>
      <c r="E1231" s="203"/>
      <c r="F1231" s="203"/>
      <c r="G1231" s="203" t="s">
        <v>172</v>
      </c>
      <c r="H1231" s="203"/>
      <c r="I1231" s="49" t="s">
        <v>172</v>
      </c>
      <c r="J1231" s="49" t="s">
        <v>172</v>
      </c>
      <c r="K1231" s="52">
        <f>SUM(K1229:K1230)</f>
        <v>2192680.6709800004</v>
      </c>
      <c r="L1231" s="53"/>
      <c r="M1231" s="53"/>
      <c r="N1231" s="53"/>
      <c r="O1231" s="54"/>
      <c r="P1231" s="47"/>
    </row>
    <row r="1232" spans="1:16" ht="18.75" hidden="1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4"/>
      <c r="P1232" s="44"/>
    </row>
    <row r="1233" spans="1:16" ht="18.75" hidden="1">
      <c r="A1233" s="53"/>
      <c r="B1233" s="53" t="s">
        <v>456</v>
      </c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4"/>
      <c r="P1233" s="44"/>
    </row>
    <row r="1234" spans="1:16" ht="18.75" hidden="1">
      <c r="A1234" s="35"/>
      <c r="B1234" s="53" t="s">
        <v>179</v>
      </c>
      <c r="C1234" s="53"/>
      <c r="D1234" s="140">
        <v>244</v>
      </c>
      <c r="E1234" s="140"/>
      <c r="F1234" s="140"/>
      <c r="G1234" s="56"/>
      <c r="H1234" s="53"/>
      <c r="I1234" s="53"/>
      <c r="J1234" s="53"/>
      <c r="K1234" s="53"/>
      <c r="L1234" s="53"/>
      <c r="M1234" s="53"/>
      <c r="N1234" s="53"/>
      <c r="O1234" s="54"/>
      <c r="P1234" s="44"/>
    </row>
    <row r="1235" spans="1:16" ht="18.75" hidden="1">
      <c r="A1235" s="35"/>
      <c r="B1235" s="53" t="s">
        <v>153</v>
      </c>
      <c r="C1235" s="53"/>
      <c r="D1235" s="93"/>
      <c r="E1235" s="93"/>
      <c r="F1235" s="142" t="s">
        <v>154</v>
      </c>
      <c r="G1235" s="56"/>
      <c r="H1235" s="53"/>
      <c r="I1235" s="53"/>
      <c r="J1235" s="53"/>
      <c r="K1235" s="53"/>
      <c r="L1235" s="53"/>
      <c r="M1235" s="53"/>
      <c r="N1235" s="53"/>
      <c r="O1235" s="54"/>
      <c r="P1235" s="44"/>
    </row>
    <row r="1236" spans="1:16" ht="18.75" hidden="1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4"/>
      <c r="P1236" s="44"/>
    </row>
    <row r="1237" spans="1:16" ht="18.75" hidden="1">
      <c r="A1237" s="53"/>
      <c r="B1237" s="53" t="s">
        <v>457</v>
      </c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4"/>
      <c r="P1237" s="44"/>
    </row>
    <row r="1238" spans="1:16" ht="18.75" hidden="1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4"/>
      <c r="P1238" s="44"/>
    </row>
    <row r="1239" spans="1:16" ht="56.25" hidden="1">
      <c r="A1239" s="49" t="s">
        <v>155</v>
      </c>
      <c r="B1239" s="259" t="s">
        <v>0</v>
      </c>
      <c r="C1239" s="259"/>
      <c r="D1239" s="259"/>
      <c r="E1239" s="259" t="s">
        <v>168</v>
      </c>
      <c r="F1239" s="259"/>
      <c r="G1239" s="259" t="s">
        <v>201</v>
      </c>
      <c r="H1239" s="259"/>
      <c r="I1239" s="61" t="s">
        <v>202</v>
      </c>
      <c r="J1239" s="61" t="s">
        <v>203</v>
      </c>
      <c r="K1239" s="61" t="s">
        <v>177</v>
      </c>
      <c r="L1239" s="53"/>
      <c r="M1239" s="53"/>
      <c r="N1239" s="53"/>
      <c r="O1239" s="54"/>
      <c r="P1239" s="44"/>
    </row>
    <row r="1240" spans="1:16" ht="18.75" hidden="1">
      <c r="A1240" s="187">
        <v>1</v>
      </c>
      <c r="B1240" s="203">
        <v>2</v>
      </c>
      <c r="C1240" s="203"/>
      <c r="D1240" s="203"/>
      <c r="E1240" s="203">
        <v>3</v>
      </c>
      <c r="F1240" s="203"/>
      <c r="G1240" s="203">
        <v>4</v>
      </c>
      <c r="H1240" s="203"/>
      <c r="I1240" s="187">
        <v>5</v>
      </c>
      <c r="J1240" s="187">
        <v>6</v>
      </c>
      <c r="K1240" s="187">
        <v>7</v>
      </c>
      <c r="L1240" s="53"/>
      <c r="M1240" s="53"/>
      <c r="N1240" s="53"/>
      <c r="O1240" s="54"/>
      <c r="P1240" s="44"/>
    </row>
    <row r="1241" spans="1:16" ht="18.75" hidden="1">
      <c r="A1241" s="49">
        <v>1</v>
      </c>
      <c r="B1241" s="250" t="s">
        <v>238</v>
      </c>
      <c r="C1241" s="251"/>
      <c r="D1241" s="252"/>
      <c r="E1241" s="203">
        <v>223</v>
      </c>
      <c r="F1241" s="203"/>
      <c r="G1241" s="248">
        <v>22.774</v>
      </c>
      <c r="H1241" s="249"/>
      <c r="I1241" s="52">
        <v>2966.5</v>
      </c>
      <c r="J1241" s="49"/>
      <c r="K1241" s="52">
        <f>ROUND(G1241*I1241,2)-2128.51</f>
        <v>65430.560000000005</v>
      </c>
      <c r="L1241" s="53"/>
      <c r="M1241" s="53"/>
      <c r="N1241" s="53"/>
      <c r="O1241" s="54"/>
      <c r="P1241" s="44"/>
    </row>
    <row r="1242" spans="1:16" ht="18.75" hidden="1">
      <c r="A1242" s="49">
        <v>2</v>
      </c>
      <c r="B1242" s="250" t="s">
        <v>238</v>
      </c>
      <c r="C1242" s="251"/>
      <c r="D1242" s="252"/>
      <c r="E1242" s="203">
        <v>223</v>
      </c>
      <c r="F1242" s="203"/>
      <c r="G1242" s="248">
        <v>386</v>
      </c>
      <c r="H1242" s="249"/>
      <c r="I1242" s="52">
        <v>39.04</v>
      </c>
      <c r="J1242" s="49"/>
      <c r="K1242" s="52">
        <f>ROUND(G1242*I1242,2)</f>
        <v>15069.44</v>
      </c>
      <c r="L1242" s="53"/>
      <c r="M1242" s="53"/>
      <c r="N1242" s="53"/>
      <c r="O1242" s="54"/>
      <c r="P1242" s="44"/>
    </row>
    <row r="1243" spans="1:16" ht="18.75" hidden="1">
      <c r="A1243" s="49">
        <v>3</v>
      </c>
      <c r="B1243" s="274" t="s">
        <v>205</v>
      </c>
      <c r="C1243" s="274"/>
      <c r="D1243" s="274"/>
      <c r="E1243" s="203">
        <v>223</v>
      </c>
      <c r="F1243" s="203"/>
      <c r="G1243" s="275">
        <v>4.8</v>
      </c>
      <c r="H1243" s="275"/>
      <c r="I1243" s="52">
        <v>39.4</v>
      </c>
      <c r="J1243" s="49"/>
      <c r="K1243" s="52">
        <f>ROUND(G1243*I1243*1000,2)-89476-16600+1715.53+3016.23+4304.2+28945.44+12734.14+8660.71</f>
        <v>142420.24999999997</v>
      </c>
      <c r="L1243" s="53"/>
      <c r="M1243" s="53"/>
      <c r="N1243" s="53"/>
      <c r="O1243" s="54"/>
      <c r="P1243" s="44"/>
    </row>
    <row r="1244" spans="1:16" ht="18.75" hidden="1">
      <c r="A1244" s="49">
        <v>4</v>
      </c>
      <c r="B1244" s="274" t="s">
        <v>206</v>
      </c>
      <c r="C1244" s="274"/>
      <c r="D1244" s="274"/>
      <c r="E1244" s="203">
        <v>223</v>
      </c>
      <c r="F1244" s="203"/>
      <c r="G1244" s="275">
        <v>5.8</v>
      </c>
      <c r="H1244" s="275"/>
      <c r="I1244" s="52">
        <v>43.32</v>
      </c>
      <c r="J1244" s="49"/>
      <c r="K1244" s="52">
        <f>ROUND(G1244*I1244*1000,2)-100000-25200</f>
        <v>126056</v>
      </c>
      <c r="L1244" s="53"/>
      <c r="M1244" s="53"/>
      <c r="N1244" s="53"/>
      <c r="O1244" s="54"/>
      <c r="P1244" s="44"/>
    </row>
    <row r="1245" spans="1:16" ht="18.75" hidden="1">
      <c r="A1245" s="49"/>
      <c r="B1245" s="201" t="s">
        <v>130</v>
      </c>
      <c r="C1245" s="226"/>
      <c r="D1245" s="202"/>
      <c r="E1245" s="203"/>
      <c r="F1245" s="203"/>
      <c r="G1245" s="203" t="s">
        <v>172</v>
      </c>
      <c r="H1245" s="203"/>
      <c r="I1245" s="49" t="s">
        <v>172</v>
      </c>
      <c r="J1245" s="49" t="s">
        <v>172</v>
      </c>
      <c r="K1245" s="52">
        <f>SUM(K1241:K1244)</f>
        <v>348976.25</v>
      </c>
      <c r="L1245" s="53"/>
      <c r="M1245" s="53"/>
      <c r="N1245" s="53"/>
      <c r="O1245" s="54"/>
      <c r="P1245" s="44"/>
    </row>
    <row r="1246" spans="1:16" ht="18.75" hidden="1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4"/>
      <c r="P1246" s="44"/>
    </row>
    <row r="1247" spans="1:16" ht="18.75" hidden="1">
      <c r="A1247" s="53"/>
      <c r="B1247" s="153" t="s">
        <v>458</v>
      </c>
      <c r="C1247" s="153"/>
      <c r="D1247" s="153"/>
      <c r="E1247" s="153"/>
      <c r="F1247" s="153"/>
      <c r="G1247" s="153"/>
      <c r="H1247" s="153"/>
      <c r="I1247" s="153"/>
      <c r="J1247" s="153"/>
      <c r="K1247" s="193"/>
      <c r="L1247" s="193"/>
      <c r="M1247" s="53"/>
      <c r="N1247" s="53"/>
      <c r="O1247" s="54"/>
      <c r="P1247" s="44"/>
    </row>
    <row r="1248" spans="1:16" ht="18.75" hidden="1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4"/>
      <c r="P1248" s="44"/>
    </row>
    <row r="1249" spans="1:16" ht="56.25" customHeight="1" hidden="1">
      <c r="A1249" s="49" t="s">
        <v>155</v>
      </c>
      <c r="B1249" s="259" t="s">
        <v>0</v>
      </c>
      <c r="C1249" s="259"/>
      <c r="D1249" s="259"/>
      <c r="E1249" s="259" t="s">
        <v>168</v>
      </c>
      <c r="F1249" s="259"/>
      <c r="G1249" s="259" t="s">
        <v>185</v>
      </c>
      <c r="H1249" s="259"/>
      <c r="I1249" s="61" t="s">
        <v>186</v>
      </c>
      <c r="J1249" s="61" t="s">
        <v>187</v>
      </c>
      <c r="K1249" s="53"/>
      <c r="L1249" s="53"/>
      <c r="M1249" s="53"/>
      <c r="N1249" s="53"/>
      <c r="O1249" s="54"/>
      <c r="P1249" s="44"/>
    </row>
    <row r="1250" spans="1:16" ht="18.75" hidden="1">
      <c r="A1250" s="187">
        <v>1</v>
      </c>
      <c r="B1250" s="203">
        <v>2</v>
      </c>
      <c r="C1250" s="203"/>
      <c r="D1250" s="203"/>
      <c r="E1250" s="203">
        <v>3</v>
      </c>
      <c r="F1250" s="203"/>
      <c r="G1250" s="203">
        <v>4</v>
      </c>
      <c r="H1250" s="203"/>
      <c r="I1250" s="187">
        <v>5</v>
      </c>
      <c r="J1250" s="187">
        <v>6</v>
      </c>
      <c r="K1250" s="53"/>
      <c r="L1250" s="53"/>
      <c r="M1250" s="53"/>
      <c r="N1250" s="53"/>
      <c r="O1250" s="54"/>
      <c r="P1250" s="44"/>
    </row>
    <row r="1251" spans="1:16" ht="18.75" hidden="1">
      <c r="A1251" s="49">
        <v>1</v>
      </c>
      <c r="B1251" s="211" t="s">
        <v>241</v>
      </c>
      <c r="C1251" s="211"/>
      <c r="D1251" s="211"/>
      <c r="E1251" s="203">
        <v>225</v>
      </c>
      <c r="F1251" s="203"/>
      <c r="G1251" s="203" t="s">
        <v>209</v>
      </c>
      <c r="H1251" s="203"/>
      <c r="I1251" s="49">
        <v>12</v>
      </c>
      <c r="J1251" s="52">
        <v>143655.57</v>
      </c>
      <c r="K1251" s="53"/>
      <c r="L1251" s="53"/>
      <c r="M1251" s="53"/>
      <c r="N1251" s="53"/>
      <c r="O1251" s="54"/>
      <c r="P1251" s="44"/>
    </row>
    <row r="1252" spans="1:16" ht="18.75" customHeight="1" hidden="1">
      <c r="A1252" s="49">
        <v>2</v>
      </c>
      <c r="B1252" s="211" t="s">
        <v>240</v>
      </c>
      <c r="C1252" s="211"/>
      <c r="D1252" s="211"/>
      <c r="E1252" s="203">
        <v>225</v>
      </c>
      <c r="F1252" s="203"/>
      <c r="G1252" s="203" t="s">
        <v>209</v>
      </c>
      <c r="H1252" s="203"/>
      <c r="I1252" s="49">
        <v>12</v>
      </c>
      <c r="J1252" s="52">
        <v>24000</v>
      </c>
      <c r="K1252" s="53"/>
      <c r="L1252" s="53"/>
      <c r="M1252" s="53"/>
      <c r="N1252" s="53"/>
      <c r="O1252" s="54"/>
      <c r="P1252" s="44"/>
    </row>
    <row r="1253" spans="1:16" ht="18.75" customHeight="1" hidden="1">
      <c r="A1253" s="49">
        <v>3</v>
      </c>
      <c r="B1253" s="211" t="s">
        <v>239</v>
      </c>
      <c r="C1253" s="211"/>
      <c r="D1253" s="211"/>
      <c r="E1253" s="203">
        <v>225</v>
      </c>
      <c r="F1253" s="203"/>
      <c r="G1253" s="203" t="s">
        <v>209</v>
      </c>
      <c r="H1253" s="203"/>
      <c r="I1253" s="49">
        <v>4</v>
      </c>
      <c r="J1253" s="52">
        <v>23327.88</v>
      </c>
      <c r="K1253" s="53"/>
      <c r="L1253" s="53"/>
      <c r="M1253" s="53"/>
      <c r="N1253" s="53"/>
      <c r="O1253" s="54"/>
      <c r="P1253" s="44"/>
    </row>
    <row r="1254" spans="1:16" ht="18.75" customHeight="1" hidden="1">
      <c r="A1254" s="49">
        <v>4</v>
      </c>
      <c r="B1254" s="211" t="s">
        <v>242</v>
      </c>
      <c r="C1254" s="211"/>
      <c r="D1254" s="211"/>
      <c r="E1254" s="203">
        <v>225</v>
      </c>
      <c r="F1254" s="203"/>
      <c r="G1254" s="203" t="s">
        <v>209</v>
      </c>
      <c r="H1254" s="203"/>
      <c r="I1254" s="49">
        <v>12</v>
      </c>
      <c r="J1254" s="52">
        <v>31000</v>
      </c>
      <c r="K1254" s="53"/>
      <c r="L1254" s="53"/>
      <c r="M1254" s="53"/>
      <c r="N1254" s="53"/>
      <c r="O1254" s="54"/>
      <c r="P1254" s="44"/>
    </row>
    <row r="1255" spans="1:16" ht="18.75" customHeight="1" hidden="1">
      <c r="A1255" s="49">
        <v>5</v>
      </c>
      <c r="B1255" s="198" t="s">
        <v>299</v>
      </c>
      <c r="C1255" s="199"/>
      <c r="D1255" s="200"/>
      <c r="E1255" s="203">
        <v>225</v>
      </c>
      <c r="F1255" s="203"/>
      <c r="G1255" s="203" t="s">
        <v>209</v>
      </c>
      <c r="H1255" s="203"/>
      <c r="I1255" s="49">
        <v>12</v>
      </c>
      <c r="J1255" s="52">
        <v>5337.6</v>
      </c>
      <c r="K1255" s="53"/>
      <c r="L1255" s="53"/>
      <c r="M1255" s="53"/>
      <c r="N1255" s="53"/>
      <c r="O1255" s="54"/>
      <c r="P1255" s="44"/>
    </row>
    <row r="1256" spans="1:16" ht="18.75" customHeight="1" hidden="1">
      <c r="A1256" s="49">
        <v>6</v>
      </c>
      <c r="B1256" s="198" t="s">
        <v>344</v>
      </c>
      <c r="C1256" s="199"/>
      <c r="D1256" s="200"/>
      <c r="E1256" s="201">
        <v>225</v>
      </c>
      <c r="F1256" s="202"/>
      <c r="G1256" s="201" t="s">
        <v>345</v>
      </c>
      <c r="H1256" s="202"/>
      <c r="I1256" s="49">
        <v>1</v>
      </c>
      <c r="J1256" s="52">
        <f>18000-5337.6</f>
        <v>12662.4</v>
      </c>
      <c r="K1256" s="53"/>
      <c r="L1256" s="53"/>
      <c r="M1256" s="53"/>
      <c r="N1256" s="53"/>
      <c r="O1256" s="54"/>
      <c r="P1256" s="44"/>
    </row>
    <row r="1257" spans="1:16" ht="18.75" customHeight="1" hidden="1">
      <c r="A1257" s="49">
        <v>7</v>
      </c>
      <c r="B1257" s="198" t="s">
        <v>375</v>
      </c>
      <c r="C1257" s="199"/>
      <c r="D1257" s="200"/>
      <c r="E1257" s="201">
        <v>225</v>
      </c>
      <c r="F1257" s="202"/>
      <c r="G1257" s="201" t="s">
        <v>209</v>
      </c>
      <c r="H1257" s="202"/>
      <c r="I1257" s="49">
        <v>12</v>
      </c>
      <c r="J1257" s="52">
        <v>36000</v>
      </c>
      <c r="K1257" s="53"/>
      <c r="L1257" s="53"/>
      <c r="M1257" s="53"/>
      <c r="N1257" s="53"/>
      <c r="O1257" s="54"/>
      <c r="P1257" s="44"/>
    </row>
    <row r="1258" spans="1:16" ht="23.25" customHeight="1" hidden="1">
      <c r="A1258" s="49"/>
      <c r="B1258" s="201" t="s">
        <v>130</v>
      </c>
      <c r="C1258" s="226"/>
      <c r="D1258" s="202"/>
      <c r="E1258" s="201"/>
      <c r="F1258" s="202"/>
      <c r="G1258" s="203" t="s">
        <v>6</v>
      </c>
      <c r="H1258" s="203"/>
      <c r="I1258" s="49" t="s">
        <v>6</v>
      </c>
      <c r="J1258" s="52">
        <f>SUM(J1251:J1257)</f>
        <v>275983.45</v>
      </c>
      <c r="K1258" s="53"/>
      <c r="L1258" s="53"/>
      <c r="M1258" s="53"/>
      <c r="N1258" s="53"/>
      <c r="O1258" s="54"/>
      <c r="P1258" s="47"/>
    </row>
    <row r="1259" spans="1:16" ht="18.75" hidden="1">
      <c r="A1259" s="56"/>
      <c r="B1259" s="56"/>
      <c r="C1259" s="56"/>
      <c r="D1259" s="56"/>
      <c r="E1259" s="56"/>
      <c r="F1259" s="63"/>
      <c r="G1259" s="53"/>
      <c r="H1259" s="53"/>
      <c r="I1259" s="53"/>
      <c r="J1259" s="53"/>
      <c r="K1259" s="53"/>
      <c r="L1259" s="53"/>
      <c r="M1259" s="53"/>
      <c r="N1259" s="53"/>
      <c r="O1259" s="54"/>
      <c r="P1259" s="47"/>
    </row>
    <row r="1260" spans="1:16" ht="18.75" customHeight="1" hidden="1">
      <c r="A1260" s="53"/>
      <c r="B1260" s="53" t="s">
        <v>459</v>
      </c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4"/>
      <c r="P1260" s="44"/>
    </row>
    <row r="1261" spans="1:16" ht="18.75" customHeight="1" hidden="1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4"/>
      <c r="P1261" s="44"/>
    </row>
    <row r="1262" spans="1:16" ht="37.5" customHeight="1" hidden="1">
      <c r="A1262" s="49" t="s">
        <v>155</v>
      </c>
      <c r="B1262" s="259" t="s">
        <v>0</v>
      </c>
      <c r="C1262" s="259"/>
      <c r="D1262" s="259"/>
      <c r="E1262" s="259" t="s">
        <v>168</v>
      </c>
      <c r="F1262" s="259"/>
      <c r="G1262" s="259" t="s">
        <v>188</v>
      </c>
      <c r="H1262" s="259"/>
      <c r="I1262" s="61" t="s">
        <v>173</v>
      </c>
      <c r="J1262" s="53"/>
      <c r="K1262" s="53"/>
      <c r="L1262" s="53"/>
      <c r="M1262" s="53"/>
      <c r="N1262" s="53"/>
      <c r="O1262" s="54"/>
      <c r="P1262" s="44"/>
    </row>
    <row r="1263" spans="1:16" ht="18.75" customHeight="1" hidden="1">
      <c r="A1263" s="187">
        <v>1</v>
      </c>
      <c r="B1263" s="203">
        <v>2</v>
      </c>
      <c r="C1263" s="203"/>
      <c r="D1263" s="203"/>
      <c r="E1263" s="203">
        <v>3</v>
      </c>
      <c r="F1263" s="203"/>
      <c r="G1263" s="203">
        <v>4</v>
      </c>
      <c r="H1263" s="203"/>
      <c r="I1263" s="187">
        <v>5</v>
      </c>
      <c r="J1263" s="53"/>
      <c r="K1263" s="53"/>
      <c r="L1263" s="53"/>
      <c r="M1263" s="53"/>
      <c r="N1263" s="53"/>
      <c r="O1263" s="54"/>
      <c r="P1263" s="44"/>
    </row>
    <row r="1264" spans="1:16" ht="18.75" customHeight="1" hidden="1">
      <c r="A1264" s="150">
        <v>1</v>
      </c>
      <c r="B1264" s="211" t="s">
        <v>282</v>
      </c>
      <c r="C1264" s="211"/>
      <c r="D1264" s="211"/>
      <c r="E1264" s="203">
        <v>226</v>
      </c>
      <c r="F1264" s="203"/>
      <c r="G1264" s="203">
        <v>1</v>
      </c>
      <c r="H1264" s="203"/>
      <c r="I1264" s="52">
        <v>16816.44</v>
      </c>
      <c r="J1264" s="53"/>
      <c r="K1264" s="53"/>
      <c r="L1264" s="53"/>
      <c r="M1264" s="53"/>
      <c r="N1264" s="53"/>
      <c r="O1264" s="54"/>
      <c r="P1264" s="44"/>
    </row>
    <row r="1265" spans="1:16" ht="18.75" customHeight="1" hidden="1">
      <c r="A1265" s="150">
        <v>2</v>
      </c>
      <c r="B1265" s="198" t="s">
        <v>385</v>
      </c>
      <c r="C1265" s="199"/>
      <c r="D1265" s="200"/>
      <c r="E1265" s="203">
        <v>226</v>
      </c>
      <c r="F1265" s="203"/>
      <c r="G1265" s="203">
        <v>1</v>
      </c>
      <c r="H1265" s="203"/>
      <c r="I1265" s="52">
        <v>744600</v>
      </c>
      <c r="J1265" s="53"/>
      <c r="K1265" s="53"/>
      <c r="L1265" s="53"/>
      <c r="M1265" s="53"/>
      <c r="N1265" s="53"/>
      <c r="O1265" s="54"/>
      <c r="P1265" s="44"/>
    </row>
    <row r="1266" spans="1:16" ht="18.75" customHeight="1" hidden="1">
      <c r="A1266" s="150">
        <v>3</v>
      </c>
      <c r="B1266" s="273" t="s">
        <v>243</v>
      </c>
      <c r="C1266" s="273"/>
      <c r="D1266" s="273"/>
      <c r="E1266" s="203">
        <v>226</v>
      </c>
      <c r="F1266" s="203"/>
      <c r="G1266" s="203">
        <v>1</v>
      </c>
      <c r="H1266" s="203"/>
      <c r="I1266" s="52">
        <v>1900</v>
      </c>
      <c r="J1266" s="53"/>
      <c r="K1266" s="53"/>
      <c r="L1266" s="53"/>
      <c r="M1266" s="53"/>
      <c r="N1266" s="53"/>
      <c r="O1266" s="54"/>
      <c r="P1266" s="44"/>
    </row>
    <row r="1267" spans="1:16" ht="18.75" customHeight="1" hidden="1">
      <c r="A1267" s="150">
        <v>4</v>
      </c>
      <c r="B1267" s="273" t="s">
        <v>244</v>
      </c>
      <c r="C1267" s="273"/>
      <c r="D1267" s="273"/>
      <c r="E1267" s="203">
        <v>226</v>
      </c>
      <c r="F1267" s="203"/>
      <c r="G1267" s="203">
        <v>1</v>
      </c>
      <c r="H1267" s="203"/>
      <c r="I1267" s="52">
        <v>9786</v>
      </c>
      <c r="J1267" s="53"/>
      <c r="K1267" s="53"/>
      <c r="L1267" s="53"/>
      <c r="M1267" s="53"/>
      <c r="N1267" s="53"/>
      <c r="O1267" s="54"/>
      <c r="P1267" s="44"/>
    </row>
    <row r="1268" spans="1:16" ht="18.75" customHeight="1" hidden="1">
      <c r="A1268" s="150">
        <v>5</v>
      </c>
      <c r="B1268" s="245" t="s">
        <v>327</v>
      </c>
      <c r="C1268" s="246"/>
      <c r="D1268" s="247"/>
      <c r="E1268" s="201">
        <v>226</v>
      </c>
      <c r="F1268" s="202"/>
      <c r="G1268" s="201">
        <v>1</v>
      </c>
      <c r="H1268" s="202"/>
      <c r="I1268" s="52">
        <v>3000</v>
      </c>
      <c r="J1268" s="53"/>
      <c r="K1268" s="53"/>
      <c r="L1268" s="53"/>
      <c r="M1268" s="53"/>
      <c r="N1268" s="53"/>
      <c r="O1268" s="54"/>
      <c r="P1268" s="44"/>
    </row>
    <row r="1269" spans="1:16" ht="18.75" hidden="1">
      <c r="A1269" s="49"/>
      <c r="B1269" s="201" t="s">
        <v>130</v>
      </c>
      <c r="C1269" s="226"/>
      <c r="D1269" s="202"/>
      <c r="E1269" s="203"/>
      <c r="F1269" s="203"/>
      <c r="G1269" s="201" t="s">
        <v>6</v>
      </c>
      <c r="H1269" s="202"/>
      <c r="I1269" s="52">
        <f>SUM(I1264:I1268)</f>
        <v>776102.44</v>
      </c>
      <c r="J1269" s="53"/>
      <c r="K1269" s="53"/>
      <c r="L1269" s="53"/>
      <c r="M1269" s="53"/>
      <c r="N1269" s="53"/>
      <c r="O1269" s="54"/>
      <c r="P1269" s="47"/>
    </row>
    <row r="1270" spans="1:16" ht="18.75" hidden="1">
      <c r="A1270" s="56"/>
      <c r="B1270" s="55"/>
      <c r="C1270" s="55"/>
      <c r="D1270" s="55"/>
      <c r="E1270" s="55"/>
      <c r="F1270" s="55"/>
      <c r="G1270" s="55"/>
      <c r="H1270" s="55"/>
      <c r="I1270" s="63"/>
      <c r="J1270" s="53"/>
      <c r="K1270" s="53"/>
      <c r="L1270" s="53"/>
      <c r="M1270" s="53"/>
      <c r="N1270" s="53"/>
      <c r="O1270" s="54"/>
      <c r="P1270" s="47"/>
    </row>
    <row r="1271" spans="1:16" ht="18.75" hidden="1">
      <c r="A1271" s="53"/>
      <c r="B1271" s="53" t="s">
        <v>257</v>
      </c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4"/>
      <c r="P1271" s="44"/>
    </row>
    <row r="1272" spans="1:16" ht="18.75" hidden="1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4"/>
      <c r="P1272" s="44"/>
    </row>
    <row r="1273" spans="1:16" ht="56.25" hidden="1">
      <c r="A1273" s="49" t="s">
        <v>155</v>
      </c>
      <c r="B1273" s="211" t="s">
        <v>0</v>
      </c>
      <c r="C1273" s="211"/>
      <c r="D1273" s="211"/>
      <c r="E1273" s="259" t="s">
        <v>168</v>
      </c>
      <c r="F1273" s="259"/>
      <c r="G1273" s="259" t="s">
        <v>189</v>
      </c>
      <c r="H1273" s="259"/>
      <c r="I1273" s="61" t="s">
        <v>190</v>
      </c>
      <c r="J1273" s="61" t="s">
        <v>191</v>
      </c>
      <c r="K1273" s="53"/>
      <c r="L1273" s="53"/>
      <c r="M1273" s="53"/>
      <c r="N1273" s="53"/>
      <c r="O1273" s="54"/>
      <c r="P1273" s="44"/>
    </row>
    <row r="1274" spans="1:16" ht="18.75" hidden="1">
      <c r="A1274" s="187">
        <v>1</v>
      </c>
      <c r="B1274" s="201">
        <v>2</v>
      </c>
      <c r="C1274" s="226"/>
      <c r="D1274" s="202"/>
      <c r="E1274" s="203">
        <v>3</v>
      </c>
      <c r="F1274" s="203"/>
      <c r="G1274" s="203">
        <v>4</v>
      </c>
      <c r="H1274" s="203"/>
      <c r="I1274" s="187">
        <v>5</v>
      </c>
      <c r="J1274" s="187">
        <v>6</v>
      </c>
      <c r="K1274" s="193"/>
      <c r="L1274" s="193"/>
      <c r="M1274" s="193"/>
      <c r="N1274" s="193"/>
      <c r="O1274" s="62"/>
      <c r="P1274" s="45"/>
    </row>
    <row r="1275" spans="1:16" ht="18.75" hidden="1">
      <c r="A1275" s="49">
        <v>1</v>
      </c>
      <c r="B1275" s="211"/>
      <c r="C1275" s="211"/>
      <c r="D1275" s="211"/>
      <c r="E1275" s="203">
        <v>310</v>
      </c>
      <c r="F1275" s="203"/>
      <c r="G1275" s="264">
        <v>1</v>
      </c>
      <c r="H1275" s="264"/>
      <c r="I1275" s="52">
        <f>J1275/G1275</f>
        <v>0</v>
      </c>
      <c r="J1275" s="52"/>
      <c r="K1275" s="53"/>
      <c r="L1275" s="53"/>
      <c r="M1275" s="53"/>
      <c r="N1275" s="53"/>
      <c r="O1275" s="54"/>
      <c r="P1275" s="44"/>
    </row>
    <row r="1276" spans="1:16" ht="18.75" hidden="1">
      <c r="A1276" s="49">
        <v>2</v>
      </c>
      <c r="B1276" s="211"/>
      <c r="C1276" s="211"/>
      <c r="D1276" s="211"/>
      <c r="E1276" s="203">
        <v>310</v>
      </c>
      <c r="F1276" s="203"/>
      <c r="G1276" s="264">
        <v>1</v>
      </c>
      <c r="H1276" s="264"/>
      <c r="I1276" s="52">
        <f>J1276/G1276</f>
        <v>0</v>
      </c>
      <c r="J1276" s="52"/>
      <c r="K1276" s="53"/>
      <c r="L1276" s="53"/>
      <c r="M1276" s="53"/>
      <c r="N1276" s="53"/>
      <c r="O1276" s="54"/>
      <c r="P1276" s="44"/>
    </row>
    <row r="1277" spans="1:16" ht="18.75" hidden="1">
      <c r="A1277" s="49">
        <v>3</v>
      </c>
      <c r="B1277" s="211"/>
      <c r="C1277" s="211"/>
      <c r="D1277" s="211"/>
      <c r="E1277" s="203">
        <v>310</v>
      </c>
      <c r="F1277" s="203"/>
      <c r="G1277" s="264">
        <v>2</v>
      </c>
      <c r="H1277" s="264"/>
      <c r="I1277" s="52">
        <f>J1277/G1277</f>
        <v>0</v>
      </c>
      <c r="J1277" s="52"/>
      <c r="K1277" s="53"/>
      <c r="L1277" s="53"/>
      <c r="M1277" s="53"/>
      <c r="N1277" s="53"/>
      <c r="O1277" s="54"/>
      <c r="P1277" s="44"/>
    </row>
    <row r="1278" spans="1:16" ht="18.75" hidden="1">
      <c r="A1278" s="49"/>
      <c r="B1278" s="265" t="s">
        <v>130</v>
      </c>
      <c r="C1278" s="265"/>
      <c r="D1278" s="265"/>
      <c r="E1278" s="203"/>
      <c r="F1278" s="203"/>
      <c r="G1278" s="203"/>
      <c r="H1278" s="203"/>
      <c r="I1278" s="49" t="s">
        <v>6</v>
      </c>
      <c r="J1278" s="183">
        <f>SUM(J1275:J1277)</f>
        <v>0</v>
      </c>
      <c r="K1278" s="53"/>
      <c r="L1278" s="53"/>
      <c r="M1278" s="53"/>
      <c r="N1278" s="53"/>
      <c r="O1278" s="54"/>
      <c r="P1278" s="47"/>
    </row>
    <row r="1279" spans="1:16" ht="18.75" hidden="1">
      <c r="A1279" s="56"/>
      <c r="B1279" s="56"/>
      <c r="C1279" s="56"/>
      <c r="D1279" s="56"/>
      <c r="E1279" s="63"/>
      <c r="F1279" s="56"/>
      <c r="G1279" s="53"/>
      <c r="H1279" s="53"/>
      <c r="I1279" s="53"/>
      <c r="J1279" s="53"/>
      <c r="K1279" s="53"/>
      <c r="L1279" s="53"/>
      <c r="M1279" s="53"/>
      <c r="N1279" s="53"/>
      <c r="O1279" s="54"/>
      <c r="P1279" s="44"/>
    </row>
    <row r="1280" spans="1:16" ht="18.75" hidden="1">
      <c r="A1280" s="53"/>
      <c r="B1280" s="53" t="s">
        <v>258</v>
      </c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4"/>
      <c r="P1280" s="44"/>
    </row>
    <row r="1281" spans="1:16" ht="18.75" hidden="1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4"/>
      <c r="P1281" s="44"/>
    </row>
    <row r="1282" spans="1:16" ht="56.25" hidden="1">
      <c r="A1282" s="49" t="s">
        <v>155</v>
      </c>
      <c r="B1282" s="259" t="s">
        <v>0</v>
      </c>
      <c r="C1282" s="259"/>
      <c r="D1282" s="259"/>
      <c r="E1282" s="259" t="s">
        <v>168</v>
      </c>
      <c r="F1282" s="259"/>
      <c r="G1282" s="259" t="s">
        <v>189</v>
      </c>
      <c r="H1282" s="259"/>
      <c r="I1282" s="61" t="s">
        <v>190</v>
      </c>
      <c r="J1282" s="61" t="s">
        <v>191</v>
      </c>
      <c r="K1282" s="53"/>
      <c r="L1282" s="53"/>
      <c r="M1282" s="53"/>
      <c r="N1282" s="53"/>
      <c r="O1282" s="54"/>
      <c r="P1282" s="44"/>
    </row>
    <row r="1283" spans="1:16" ht="18.75" hidden="1">
      <c r="A1283" s="187">
        <v>1</v>
      </c>
      <c r="B1283" s="203">
        <v>2</v>
      </c>
      <c r="C1283" s="203"/>
      <c r="D1283" s="203"/>
      <c r="E1283" s="203">
        <v>3</v>
      </c>
      <c r="F1283" s="203"/>
      <c r="G1283" s="203">
        <v>4</v>
      </c>
      <c r="H1283" s="203"/>
      <c r="I1283" s="187">
        <v>5</v>
      </c>
      <c r="J1283" s="187">
        <v>6</v>
      </c>
      <c r="K1283" s="193"/>
      <c r="L1283" s="193"/>
      <c r="M1283" s="193"/>
      <c r="N1283" s="193"/>
      <c r="O1283" s="62"/>
      <c r="P1283" s="45"/>
    </row>
    <row r="1284" spans="1:16" ht="18.75" hidden="1">
      <c r="A1284" s="49">
        <v>1</v>
      </c>
      <c r="B1284" s="211" t="s">
        <v>211</v>
      </c>
      <c r="C1284" s="211"/>
      <c r="D1284" s="211"/>
      <c r="E1284" s="203">
        <v>344</v>
      </c>
      <c r="F1284" s="203"/>
      <c r="G1284" s="203"/>
      <c r="H1284" s="203"/>
      <c r="I1284" s="52" t="e">
        <f>J1284/G1284</f>
        <v>#DIV/0!</v>
      </c>
      <c r="J1284" s="183"/>
      <c r="K1284" s="53"/>
      <c r="L1284" s="53"/>
      <c r="M1284" s="53"/>
      <c r="N1284" s="53"/>
      <c r="O1284" s="54"/>
      <c r="P1284" s="44"/>
    </row>
    <row r="1285" spans="1:16" ht="18.75" hidden="1">
      <c r="A1285" s="49"/>
      <c r="B1285" s="265" t="s">
        <v>130</v>
      </c>
      <c r="C1285" s="265"/>
      <c r="D1285" s="265"/>
      <c r="E1285" s="203"/>
      <c r="F1285" s="203"/>
      <c r="G1285" s="203"/>
      <c r="H1285" s="203"/>
      <c r="I1285" s="49" t="s">
        <v>6</v>
      </c>
      <c r="J1285" s="183">
        <f>SUM(J1284:J1284)</f>
        <v>0</v>
      </c>
      <c r="K1285" s="53"/>
      <c r="L1285" s="53"/>
      <c r="M1285" s="53"/>
      <c r="N1285" s="53"/>
      <c r="O1285" s="54"/>
      <c r="P1285" s="47"/>
    </row>
    <row r="1286" spans="1:16" ht="18.75" hidden="1">
      <c r="A1286" s="56"/>
      <c r="B1286" s="56"/>
      <c r="C1286" s="56"/>
      <c r="D1286" s="56"/>
      <c r="E1286" s="56"/>
      <c r="F1286" s="146"/>
      <c r="G1286" s="53"/>
      <c r="H1286" s="53"/>
      <c r="I1286" s="53"/>
      <c r="J1286" s="53"/>
      <c r="K1286" s="53"/>
      <c r="L1286" s="53"/>
      <c r="M1286" s="53"/>
      <c r="N1286" s="53"/>
      <c r="O1286" s="54"/>
      <c r="P1286" s="47"/>
    </row>
    <row r="1287" spans="1:16" ht="18.75" hidden="1">
      <c r="A1287" s="53"/>
      <c r="B1287" s="53" t="s">
        <v>259</v>
      </c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4"/>
      <c r="P1287" s="44"/>
    </row>
    <row r="1288" spans="1:16" ht="18.75" hidden="1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4"/>
      <c r="P1288" s="44"/>
    </row>
    <row r="1289" spans="1:16" ht="56.25" hidden="1">
      <c r="A1289" s="49" t="s">
        <v>155</v>
      </c>
      <c r="B1289" s="259" t="s">
        <v>0</v>
      </c>
      <c r="C1289" s="259"/>
      <c r="D1289" s="259"/>
      <c r="E1289" s="259" t="s">
        <v>168</v>
      </c>
      <c r="F1289" s="259"/>
      <c r="G1289" s="259" t="s">
        <v>189</v>
      </c>
      <c r="H1289" s="259"/>
      <c r="I1289" s="61" t="s">
        <v>190</v>
      </c>
      <c r="J1289" s="61" t="s">
        <v>191</v>
      </c>
      <c r="K1289" s="53"/>
      <c r="L1289" s="53"/>
      <c r="M1289" s="53"/>
      <c r="N1289" s="53"/>
      <c r="O1289" s="54"/>
      <c r="P1289" s="44"/>
    </row>
    <row r="1290" spans="1:16" ht="18.75" hidden="1">
      <c r="A1290" s="187">
        <v>1</v>
      </c>
      <c r="B1290" s="203">
        <v>2</v>
      </c>
      <c r="C1290" s="203"/>
      <c r="D1290" s="203"/>
      <c r="E1290" s="203">
        <v>3</v>
      </c>
      <c r="F1290" s="203"/>
      <c r="G1290" s="203">
        <v>4</v>
      </c>
      <c r="H1290" s="203"/>
      <c r="I1290" s="187">
        <v>5</v>
      </c>
      <c r="J1290" s="187">
        <v>6</v>
      </c>
      <c r="K1290" s="193"/>
      <c r="L1290" s="193"/>
      <c r="M1290" s="193"/>
      <c r="N1290" s="193"/>
      <c r="O1290" s="62"/>
      <c r="P1290" s="45"/>
    </row>
    <row r="1291" spans="1:16" ht="18.75" hidden="1">
      <c r="A1291" s="49">
        <v>1</v>
      </c>
      <c r="B1291" s="211"/>
      <c r="C1291" s="211"/>
      <c r="D1291" s="211"/>
      <c r="E1291" s="203">
        <v>346</v>
      </c>
      <c r="F1291" s="203"/>
      <c r="G1291" s="203">
        <v>1</v>
      </c>
      <c r="H1291" s="203"/>
      <c r="I1291" s="52">
        <f>J1291/G1291</f>
        <v>0</v>
      </c>
      <c r="J1291" s="52"/>
      <c r="K1291" s="53"/>
      <c r="L1291" s="53"/>
      <c r="M1291" s="53"/>
      <c r="N1291" s="53"/>
      <c r="O1291" s="54"/>
      <c r="P1291" s="44"/>
    </row>
    <row r="1292" spans="1:16" ht="18.75" hidden="1">
      <c r="A1292" s="49">
        <v>2</v>
      </c>
      <c r="B1292" s="211"/>
      <c r="C1292" s="211"/>
      <c r="D1292" s="211"/>
      <c r="E1292" s="203">
        <v>346</v>
      </c>
      <c r="F1292" s="203"/>
      <c r="G1292" s="203">
        <v>1</v>
      </c>
      <c r="H1292" s="203"/>
      <c r="I1292" s="52">
        <f>J1292/G1292</f>
        <v>0</v>
      </c>
      <c r="J1292" s="52"/>
      <c r="K1292" s="53"/>
      <c r="L1292" s="53"/>
      <c r="M1292" s="53"/>
      <c r="N1292" s="53"/>
      <c r="O1292" s="54"/>
      <c r="P1292" s="44"/>
    </row>
    <row r="1293" spans="1:16" ht="18.75" hidden="1">
      <c r="A1293" s="49">
        <v>3</v>
      </c>
      <c r="B1293" s="211"/>
      <c r="C1293" s="211"/>
      <c r="D1293" s="211"/>
      <c r="E1293" s="203">
        <v>346</v>
      </c>
      <c r="F1293" s="203"/>
      <c r="G1293" s="203">
        <v>1</v>
      </c>
      <c r="H1293" s="203"/>
      <c r="I1293" s="52">
        <f>J1293/G1293</f>
        <v>0</v>
      </c>
      <c r="J1293" s="52"/>
      <c r="K1293" s="53"/>
      <c r="L1293" s="53"/>
      <c r="M1293" s="53"/>
      <c r="N1293" s="53"/>
      <c r="O1293" s="54"/>
      <c r="P1293" s="44"/>
    </row>
    <row r="1294" spans="1:16" ht="18.75" hidden="1">
      <c r="A1294" s="49"/>
      <c r="B1294" s="265" t="s">
        <v>130</v>
      </c>
      <c r="C1294" s="265"/>
      <c r="D1294" s="265"/>
      <c r="E1294" s="203"/>
      <c r="F1294" s="203"/>
      <c r="G1294" s="203"/>
      <c r="H1294" s="203"/>
      <c r="I1294" s="49" t="s">
        <v>6</v>
      </c>
      <c r="J1294" s="52">
        <f>SUM(J1291:J1293)</f>
        <v>0</v>
      </c>
      <c r="K1294" s="53"/>
      <c r="L1294" s="53"/>
      <c r="M1294" s="53"/>
      <c r="N1294" s="53"/>
      <c r="O1294" s="54"/>
      <c r="P1294" s="46"/>
    </row>
    <row r="1295" spans="1:16" ht="18.75" hidden="1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4"/>
      <c r="P1295" s="44"/>
    </row>
    <row r="1296" spans="1:16" ht="18.75" hidden="1">
      <c r="A1296" s="53"/>
      <c r="B1296" s="53" t="s">
        <v>460</v>
      </c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4"/>
      <c r="P1296" s="44"/>
    </row>
    <row r="1297" spans="1:16" ht="18.75" hidden="1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4"/>
      <c r="P1297" s="44"/>
    </row>
    <row r="1298" spans="1:16" ht="18.75" hidden="1">
      <c r="A1298" s="35"/>
      <c r="B1298" s="53" t="s">
        <v>179</v>
      </c>
      <c r="C1298" s="53"/>
      <c r="D1298" s="140">
        <v>850</v>
      </c>
      <c r="E1298" s="140"/>
      <c r="F1298" s="56"/>
      <c r="G1298" s="56"/>
      <c r="H1298" s="53"/>
      <c r="I1298" s="53"/>
      <c r="J1298" s="53"/>
      <c r="K1298" s="53"/>
      <c r="L1298" s="53"/>
      <c r="M1298" s="53"/>
      <c r="N1298" s="53"/>
      <c r="O1298" s="54"/>
      <c r="P1298" s="44"/>
    </row>
    <row r="1299" spans="1:16" ht="18.75" hidden="1">
      <c r="A1299" s="35"/>
      <c r="B1299" s="53" t="s">
        <v>153</v>
      </c>
      <c r="C1299" s="53"/>
      <c r="D1299" s="93"/>
      <c r="E1299" s="56"/>
      <c r="F1299" s="93"/>
      <c r="G1299" s="140" t="s">
        <v>154</v>
      </c>
      <c r="H1299" s="53"/>
      <c r="I1299" s="53"/>
      <c r="J1299" s="53"/>
      <c r="K1299" s="53"/>
      <c r="L1299" s="53"/>
      <c r="M1299" s="53"/>
      <c r="N1299" s="53"/>
      <c r="O1299" s="54"/>
      <c r="P1299" s="44"/>
    </row>
    <row r="1300" spans="1:16" ht="18.75" hidden="1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4"/>
      <c r="P1300" s="44"/>
    </row>
    <row r="1301" spans="1:16" ht="18.75" hidden="1">
      <c r="A1301" s="53"/>
      <c r="B1301" s="57" t="s">
        <v>461</v>
      </c>
      <c r="C1301" s="58"/>
      <c r="D1301" s="58"/>
      <c r="E1301" s="58"/>
      <c r="F1301" s="58"/>
      <c r="G1301" s="58"/>
      <c r="H1301" s="58"/>
      <c r="I1301" s="58"/>
      <c r="J1301" s="58"/>
      <c r="K1301" s="58"/>
      <c r="L1301" s="58"/>
      <c r="M1301" s="58"/>
      <c r="N1301" s="53"/>
      <c r="O1301" s="54"/>
      <c r="P1301" s="44"/>
    </row>
    <row r="1302" spans="1:16" ht="18.75" hidden="1">
      <c r="A1302" s="35"/>
      <c r="B1302" s="53" t="s">
        <v>179</v>
      </c>
      <c r="C1302" s="53"/>
      <c r="D1302" s="140">
        <v>851</v>
      </c>
      <c r="E1302" s="140"/>
      <c r="F1302" s="56"/>
      <c r="G1302" s="56"/>
      <c r="H1302" s="53"/>
      <c r="I1302" s="53"/>
      <c r="J1302" s="53"/>
      <c r="K1302" s="58"/>
      <c r="L1302" s="58"/>
      <c r="M1302" s="58"/>
      <c r="N1302" s="53"/>
      <c r="O1302" s="54"/>
      <c r="P1302" s="44"/>
    </row>
    <row r="1303" spans="1:16" ht="18.75" hidden="1">
      <c r="A1303" s="58"/>
      <c r="B1303" s="58"/>
      <c r="C1303" s="58"/>
      <c r="D1303" s="58"/>
      <c r="E1303" s="58"/>
      <c r="F1303" s="58"/>
      <c r="G1303" s="58"/>
      <c r="H1303" s="58"/>
      <c r="I1303" s="58"/>
      <c r="J1303" s="58"/>
      <c r="K1303" s="58"/>
      <c r="L1303" s="58"/>
      <c r="M1303" s="58"/>
      <c r="N1303" s="53"/>
      <c r="O1303" s="54"/>
      <c r="P1303" s="44"/>
    </row>
    <row r="1304" spans="1:16" ht="93.75" hidden="1">
      <c r="A1304" s="49" t="s">
        <v>155</v>
      </c>
      <c r="B1304" s="259" t="s">
        <v>0</v>
      </c>
      <c r="C1304" s="259"/>
      <c r="D1304" s="259"/>
      <c r="E1304" s="259" t="s">
        <v>168</v>
      </c>
      <c r="F1304" s="259"/>
      <c r="G1304" s="259" t="s">
        <v>212</v>
      </c>
      <c r="H1304" s="259"/>
      <c r="I1304" s="61" t="s">
        <v>213</v>
      </c>
      <c r="J1304" s="61" t="s">
        <v>214</v>
      </c>
      <c r="K1304" s="53"/>
      <c r="L1304" s="53"/>
      <c r="M1304" s="53"/>
      <c r="N1304" s="53"/>
      <c r="O1304" s="54"/>
      <c r="P1304" s="44"/>
    </row>
    <row r="1305" spans="1:16" ht="18.75" hidden="1">
      <c r="A1305" s="187">
        <v>1</v>
      </c>
      <c r="B1305" s="203">
        <v>2</v>
      </c>
      <c r="C1305" s="203"/>
      <c r="D1305" s="203"/>
      <c r="E1305" s="203">
        <v>3</v>
      </c>
      <c r="F1305" s="203"/>
      <c r="G1305" s="203">
        <v>4</v>
      </c>
      <c r="H1305" s="203"/>
      <c r="I1305" s="187">
        <v>5</v>
      </c>
      <c r="J1305" s="187">
        <v>6</v>
      </c>
      <c r="K1305" s="193"/>
      <c r="L1305" s="193"/>
      <c r="M1305" s="193"/>
      <c r="N1305" s="193"/>
      <c r="O1305" s="62"/>
      <c r="P1305" s="45"/>
    </row>
    <row r="1306" spans="1:16" ht="18.75" customHeight="1" hidden="1">
      <c r="A1306" s="49">
        <v>1</v>
      </c>
      <c r="B1306" s="198" t="s">
        <v>386</v>
      </c>
      <c r="C1306" s="199"/>
      <c r="D1306" s="200"/>
      <c r="E1306" s="201">
        <v>291</v>
      </c>
      <c r="F1306" s="202"/>
      <c r="G1306" s="243">
        <f>J1306/I1306</f>
        <v>20584060.666666664</v>
      </c>
      <c r="H1306" s="244"/>
      <c r="I1306" s="64">
        <v>0.015</v>
      </c>
      <c r="J1306" s="52">
        <v>308760.91</v>
      </c>
      <c r="K1306" s="53"/>
      <c r="L1306" s="53"/>
      <c r="M1306" s="53"/>
      <c r="N1306" s="53"/>
      <c r="O1306" s="54"/>
      <c r="P1306" s="44"/>
    </row>
    <row r="1307" spans="1:16" ht="18.75" hidden="1">
      <c r="A1307" s="49">
        <v>2</v>
      </c>
      <c r="B1307" s="198" t="s">
        <v>215</v>
      </c>
      <c r="C1307" s="199"/>
      <c r="D1307" s="200"/>
      <c r="E1307" s="203">
        <v>291</v>
      </c>
      <c r="F1307" s="203"/>
      <c r="G1307" s="243">
        <f>J1307/I1307</f>
        <v>2267909.090909091</v>
      </c>
      <c r="H1307" s="244"/>
      <c r="I1307" s="64">
        <v>0.022</v>
      </c>
      <c r="J1307" s="52">
        <v>49894</v>
      </c>
      <c r="K1307" s="53"/>
      <c r="L1307" s="53"/>
      <c r="M1307" s="53"/>
      <c r="N1307" s="53"/>
      <c r="O1307" s="54"/>
      <c r="P1307" s="44"/>
    </row>
    <row r="1308" spans="1:16" ht="18.75" hidden="1">
      <c r="A1308" s="49"/>
      <c r="B1308" s="203" t="s">
        <v>130</v>
      </c>
      <c r="C1308" s="203"/>
      <c r="D1308" s="203"/>
      <c r="E1308" s="203"/>
      <c r="F1308" s="203"/>
      <c r="G1308" s="203"/>
      <c r="H1308" s="203"/>
      <c r="I1308" s="49" t="s">
        <v>6</v>
      </c>
      <c r="J1308" s="52">
        <f>SUM(J1306:J1307)</f>
        <v>358654.91</v>
      </c>
      <c r="K1308" s="53"/>
      <c r="L1308" s="53"/>
      <c r="M1308" s="53"/>
      <c r="N1308" s="53"/>
      <c r="O1308" s="54"/>
      <c r="P1308" s="44"/>
    </row>
    <row r="1309" spans="1:16" ht="18.75" hidden="1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  <c r="K1309" s="58"/>
      <c r="L1309" s="58"/>
      <c r="M1309" s="58"/>
      <c r="N1309" s="53"/>
      <c r="O1309" s="54"/>
      <c r="P1309" s="44"/>
    </row>
    <row r="1310" spans="1:16" ht="18.75" hidden="1">
      <c r="A1310" s="53"/>
      <c r="B1310" s="57" t="s">
        <v>462</v>
      </c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  <c r="M1310" s="58"/>
      <c r="N1310" s="53"/>
      <c r="O1310" s="54"/>
      <c r="P1310" s="46"/>
    </row>
    <row r="1311" spans="1:16" ht="18.75" hidden="1">
      <c r="A1311" s="35"/>
      <c r="B1311" s="53" t="s">
        <v>179</v>
      </c>
      <c r="C1311" s="53"/>
      <c r="D1311" s="140">
        <v>853</v>
      </c>
      <c r="E1311" s="140"/>
      <c r="F1311" s="56"/>
      <c r="G1311" s="56"/>
      <c r="H1311" s="53"/>
      <c r="I1311" s="53"/>
      <c r="J1311" s="53"/>
      <c r="K1311" s="58"/>
      <c r="L1311" s="58"/>
      <c r="M1311" s="58"/>
      <c r="N1311" s="53"/>
      <c r="O1311" s="54"/>
      <c r="P1311" s="46"/>
    </row>
    <row r="1312" spans="1:16" ht="18.75" hidden="1">
      <c r="A1312" s="58"/>
      <c r="B1312" s="58"/>
      <c r="C1312" s="58"/>
      <c r="D1312" s="58"/>
      <c r="E1312" s="58"/>
      <c r="F1312" s="58"/>
      <c r="G1312" s="58"/>
      <c r="H1312" s="58"/>
      <c r="I1312" s="58"/>
      <c r="J1312" s="58"/>
      <c r="K1312" s="58"/>
      <c r="L1312" s="58"/>
      <c r="M1312" s="58"/>
      <c r="N1312" s="53"/>
      <c r="O1312" s="54"/>
      <c r="P1312" s="46"/>
    </row>
    <row r="1313" spans="1:16" ht="93.75" hidden="1">
      <c r="A1313" s="49" t="s">
        <v>155</v>
      </c>
      <c r="B1313" s="259" t="s">
        <v>0</v>
      </c>
      <c r="C1313" s="259"/>
      <c r="D1313" s="259"/>
      <c r="E1313" s="259" t="s">
        <v>168</v>
      </c>
      <c r="F1313" s="259"/>
      <c r="G1313" s="259" t="s">
        <v>212</v>
      </c>
      <c r="H1313" s="259"/>
      <c r="I1313" s="61" t="s">
        <v>213</v>
      </c>
      <c r="J1313" s="61" t="s">
        <v>214</v>
      </c>
      <c r="K1313" s="53"/>
      <c r="L1313" s="53"/>
      <c r="M1313" s="53"/>
      <c r="N1313" s="53"/>
      <c r="O1313" s="54"/>
      <c r="P1313" s="46"/>
    </row>
    <row r="1314" spans="1:16" ht="18.75" hidden="1">
      <c r="A1314" s="187">
        <v>1</v>
      </c>
      <c r="B1314" s="203">
        <v>2</v>
      </c>
      <c r="C1314" s="203"/>
      <c r="D1314" s="203"/>
      <c r="E1314" s="203">
        <v>3</v>
      </c>
      <c r="F1314" s="203"/>
      <c r="G1314" s="203">
        <v>4</v>
      </c>
      <c r="H1314" s="203"/>
      <c r="I1314" s="187">
        <v>5</v>
      </c>
      <c r="J1314" s="187">
        <v>6</v>
      </c>
      <c r="K1314" s="193"/>
      <c r="L1314" s="193"/>
      <c r="M1314" s="193"/>
      <c r="N1314" s="193"/>
      <c r="O1314" s="62"/>
      <c r="P1314" s="46"/>
    </row>
    <row r="1315" spans="1:16" ht="18.75" hidden="1">
      <c r="A1315" s="49">
        <v>1</v>
      </c>
      <c r="B1315" s="198" t="s">
        <v>216</v>
      </c>
      <c r="C1315" s="199"/>
      <c r="D1315" s="200"/>
      <c r="E1315" s="203">
        <v>291</v>
      </c>
      <c r="F1315" s="203"/>
      <c r="G1315" s="243">
        <f>J1315/I1315</f>
        <v>2650</v>
      </c>
      <c r="H1315" s="244"/>
      <c r="I1315" s="187">
        <v>4</v>
      </c>
      <c r="J1315" s="52">
        <v>10600</v>
      </c>
      <c r="K1315" s="53"/>
      <c r="L1315" s="53"/>
      <c r="M1315" s="53"/>
      <c r="N1315" s="53"/>
      <c r="O1315" s="54"/>
      <c r="P1315" s="46"/>
    </row>
    <row r="1316" spans="1:16" ht="18.75" hidden="1">
      <c r="A1316" s="49"/>
      <c r="B1316" s="203" t="s">
        <v>130</v>
      </c>
      <c r="C1316" s="203"/>
      <c r="D1316" s="203"/>
      <c r="E1316" s="203"/>
      <c r="F1316" s="203"/>
      <c r="G1316" s="203"/>
      <c r="H1316" s="203"/>
      <c r="I1316" s="49" t="s">
        <v>6</v>
      </c>
      <c r="J1316" s="52">
        <f>SUM(J1315:J1315)</f>
        <v>10600</v>
      </c>
      <c r="K1316" s="53"/>
      <c r="L1316" s="53"/>
      <c r="M1316" s="53"/>
      <c r="N1316" s="53"/>
      <c r="O1316" s="54"/>
      <c r="P1316" s="46"/>
    </row>
    <row r="1317" spans="1:16" ht="18.75" hidden="1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4"/>
      <c r="P1317" s="44"/>
    </row>
    <row r="1318" spans="1:16" ht="18.75" hidden="1">
      <c r="A1318" s="53"/>
      <c r="B1318" s="53" t="s">
        <v>463</v>
      </c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4"/>
      <c r="P1318" s="44"/>
    </row>
    <row r="1319" spans="1:16" ht="18.75" hidden="1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4"/>
      <c r="P1319" s="44"/>
    </row>
    <row r="1320" spans="1:16" ht="18.75" hidden="1">
      <c r="A1320" s="34"/>
      <c r="B1320" s="53" t="s">
        <v>179</v>
      </c>
      <c r="C1320" s="34"/>
      <c r="D1320" s="140">
        <v>244</v>
      </c>
      <c r="E1320" s="140"/>
      <c r="F1320" s="56"/>
      <c r="G1320" s="53"/>
      <c r="H1320" s="53"/>
      <c r="I1320" s="53"/>
      <c r="J1320" s="53"/>
      <c r="K1320" s="53"/>
      <c r="L1320" s="53"/>
      <c r="M1320" s="53"/>
      <c r="N1320" s="53"/>
      <c r="O1320" s="54"/>
      <c r="P1320" s="44"/>
    </row>
    <row r="1321" spans="1:16" ht="18.75" hidden="1">
      <c r="A1321" s="34"/>
      <c r="B1321" s="53" t="s">
        <v>180</v>
      </c>
      <c r="C1321" s="93"/>
      <c r="D1321" s="93"/>
      <c r="E1321" s="140" t="s">
        <v>154</v>
      </c>
      <c r="F1321" s="140"/>
      <c r="G1321" s="140"/>
      <c r="H1321" s="140"/>
      <c r="I1321" s="140"/>
      <c r="J1321" s="140"/>
      <c r="K1321" s="53"/>
      <c r="L1321" s="53"/>
      <c r="M1321" s="53"/>
      <c r="N1321" s="53"/>
      <c r="O1321" s="54"/>
      <c r="P1321" s="44"/>
    </row>
    <row r="1322" spans="1:16" ht="18.75" hidden="1">
      <c r="A1322" s="56"/>
      <c r="B1322" s="145"/>
      <c r="C1322" s="145"/>
      <c r="D1322" s="145"/>
      <c r="E1322" s="55"/>
      <c r="F1322" s="55"/>
      <c r="G1322" s="55"/>
      <c r="H1322" s="55"/>
      <c r="I1322" s="56"/>
      <c r="J1322" s="63"/>
      <c r="K1322" s="53"/>
      <c r="L1322" s="53"/>
      <c r="M1322" s="53"/>
      <c r="N1322" s="53"/>
      <c r="O1322" s="54"/>
      <c r="P1322" s="44"/>
    </row>
    <row r="1323" spans="1:16" ht="18.75" hidden="1">
      <c r="A1323" s="53"/>
      <c r="B1323" s="53" t="s">
        <v>464</v>
      </c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4"/>
      <c r="P1323" s="44"/>
    </row>
    <row r="1324" spans="1:16" ht="18.75" hidden="1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4"/>
      <c r="P1324" s="44"/>
    </row>
    <row r="1325" spans="1:16" ht="56.25" hidden="1">
      <c r="A1325" s="49" t="s">
        <v>155</v>
      </c>
      <c r="B1325" s="259" t="s">
        <v>0</v>
      </c>
      <c r="C1325" s="259"/>
      <c r="D1325" s="259"/>
      <c r="E1325" s="259" t="s">
        <v>168</v>
      </c>
      <c r="F1325" s="259"/>
      <c r="G1325" s="259" t="s">
        <v>189</v>
      </c>
      <c r="H1325" s="259"/>
      <c r="I1325" s="61" t="s">
        <v>190</v>
      </c>
      <c r="J1325" s="61" t="s">
        <v>219</v>
      </c>
      <c r="K1325" s="53"/>
      <c r="L1325" s="53"/>
      <c r="M1325" s="53"/>
      <c r="N1325" s="53"/>
      <c r="O1325" s="54"/>
      <c r="P1325" s="44"/>
    </row>
    <row r="1326" spans="1:16" ht="18.75" hidden="1">
      <c r="A1326" s="187">
        <v>1</v>
      </c>
      <c r="B1326" s="203">
        <v>2</v>
      </c>
      <c r="C1326" s="203"/>
      <c r="D1326" s="203"/>
      <c r="E1326" s="203">
        <v>3</v>
      </c>
      <c r="F1326" s="203"/>
      <c r="G1326" s="203">
        <v>4</v>
      </c>
      <c r="H1326" s="203"/>
      <c r="I1326" s="187">
        <v>5</v>
      </c>
      <c r="J1326" s="187">
        <v>6</v>
      </c>
      <c r="K1326" s="193"/>
      <c r="L1326" s="53"/>
      <c r="M1326" s="53"/>
      <c r="N1326" s="53"/>
      <c r="O1326" s="54"/>
      <c r="P1326" s="44"/>
    </row>
    <row r="1327" spans="1:16" ht="62.25" customHeight="1" hidden="1">
      <c r="A1327" s="49">
        <v>1</v>
      </c>
      <c r="B1327" s="211" t="s">
        <v>339</v>
      </c>
      <c r="C1327" s="211"/>
      <c r="D1327" s="211"/>
      <c r="E1327" s="203">
        <v>344</v>
      </c>
      <c r="F1327" s="203"/>
      <c r="G1327" s="203">
        <v>0</v>
      </c>
      <c r="H1327" s="203"/>
      <c r="I1327" s="52" t="e">
        <f>J1327/G1327</f>
        <v>#DIV/0!</v>
      </c>
      <c r="J1327" s="52">
        <f>100000-100000</f>
        <v>0</v>
      </c>
      <c r="K1327" s="53"/>
      <c r="L1327" s="53"/>
      <c r="M1327" s="53"/>
      <c r="N1327" s="53"/>
      <c r="O1327" s="54"/>
      <c r="P1327" s="44"/>
    </row>
    <row r="1328" spans="1:16" ht="18.75" hidden="1">
      <c r="A1328" s="49"/>
      <c r="B1328" s="201" t="s">
        <v>130</v>
      </c>
      <c r="C1328" s="226"/>
      <c r="D1328" s="202"/>
      <c r="E1328" s="203"/>
      <c r="F1328" s="203"/>
      <c r="G1328" s="203"/>
      <c r="H1328" s="203"/>
      <c r="I1328" s="49" t="s">
        <v>6</v>
      </c>
      <c r="J1328" s="52">
        <f>SUM(J1327:J1327)</f>
        <v>0</v>
      </c>
      <c r="K1328" s="53"/>
      <c r="L1328" s="53"/>
      <c r="M1328" s="53"/>
      <c r="N1328" s="53"/>
      <c r="O1328" s="54"/>
      <c r="P1328" s="44"/>
    </row>
    <row r="1329" spans="1:16" ht="18.75" hidden="1">
      <c r="A1329" s="56"/>
      <c r="B1329" s="145"/>
      <c r="C1329" s="145"/>
      <c r="D1329" s="145"/>
      <c r="E1329" s="55"/>
      <c r="F1329" s="55"/>
      <c r="G1329" s="55"/>
      <c r="H1329" s="55"/>
      <c r="I1329" s="56"/>
      <c r="J1329" s="63"/>
      <c r="K1329" s="53"/>
      <c r="L1329" s="53"/>
      <c r="M1329" s="53"/>
      <c r="N1329" s="53"/>
      <c r="O1329" s="54"/>
      <c r="P1329" s="44"/>
    </row>
    <row r="1330" spans="1:16" ht="18.75" hidden="1">
      <c r="A1330" s="53"/>
      <c r="B1330" s="53" t="s">
        <v>465</v>
      </c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4"/>
      <c r="P1330" s="44"/>
    </row>
    <row r="1331" spans="1:16" ht="18.75" hidden="1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4"/>
      <c r="P1331" s="44"/>
    </row>
    <row r="1332" spans="1:16" ht="56.25" hidden="1">
      <c r="A1332" s="49" t="s">
        <v>155</v>
      </c>
      <c r="B1332" s="259" t="s">
        <v>0</v>
      </c>
      <c r="C1332" s="259"/>
      <c r="D1332" s="259"/>
      <c r="E1332" s="259" t="s">
        <v>168</v>
      </c>
      <c r="F1332" s="259"/>
      <c r="G1332" s="259" t="s">
        <v>354</v>
      </c>
      <c r="H1332" s="259"/>
      <c r="I1332" s="61" t="s">
        <v>190</v>
      </c>
      <c r="J1332" s="61" t="s">
        <v>219</v>
      </c>
      <c r="K1332" s="53"/>
      <c r="L1332" s="53"/>
      <c r="M1332" s="53"/>
      <c r="N1332" s="53"/>
      <c r="O1332" s="54"/>
      <c r="P1332" s="44"/>
    </row>
    <row r="1333" spans="1:16" ht="18.75" hidden="1">
      <c r="A1333" s="187">
        <v>1</v>
      </c>
      <c r="B1333" s="203">
        <v>2</v>
      </c>
      <c r="C1333" s="203"/>
      <c r="D1333" s="203"/>
      <c r="E1333" s="203">
        <v>3</v>
      </c>
      <c r="F1333" s="203"/>
      <c r="G1333" s="203">
        <v>4</v>
      </c>
      <c r="H1333" s="203"/>
      <c r="I1333" s="187">
        <v>5</v>
      </c>
      <c r="J1333" s="187">
        <v>6</v>
      </c>
      <c r="K1333" s="193"/>
      <c r="L1333" s="53"/>
      <c r="M1333" s="53"/>
      <c r="N1333" s="53"/>
      <c r="O1333" s="54"/>
      <c r="P1333" s="44"/>
    </row>
    <row r="1334" spans="1:16" ht="18.75" hidden="1">
      <c r="A1334" s="49">
        <v>1</v>
      </c>
      <c r="B1334" s="198" t="s">
        <v>417</v>
      </c>
      <c r="C1334" s="199"/>
      <c r="D1334" s="200"/>
      <c r="E1334" s="201">
        <v>346</v>
      </c>
      <c r="F1334" s="202"/>
      <c r="G1334" s="201">
        <v>207</v>
      </c>
      <c r="H1334" s="202"/>
      <c r="I1334" s="52">
        <f>J1334/G1334</f>
        <v>130.63227053140096</v>
      </c>
      <c r="J1334" s="52">
        <f>62140.88-35100</f>
        <v>27040.879999999997</v>
      </c>
      <c r="K1334" s="53"/>
      <c r="L1334" s="53"/>
      <c r="M1334" s="53"/>
      <c r="N1334" s="53"/>
      <c r="O1334" s="54"/>
      <c r="P1334" s="44"/>
    </row>
    <row r="1335" spans="1:16" ht="18.75" hidden="1">
      <c r="A1335" s="49"/>
      <c r="B1335" s="201" t="s">
        <v>130</v>
      </c>
      <c r="C1335" s="226"/>
      <c r="D1335" s="202"/>
      <c r="E1335" s="203"/>
      <c r="F1335" s="203"/>
      <c r="G1335" s="203"/>
      <c r="H1335" s="203"/>
      <c r="I1335" s="49" t="s">
        <v>6</v>
      </c>
      <c r="J1335" s="52">
        <f>SUM(J1334:J1334)</f>
        <v>27040.879999999997</v>
      </c>
      <c r="K1335" s="53"/>
      <c r="L1335" s="53"/>
      <c r="M1335" s="53"/>
      <c r="N1335" s="53"/>
      <c r="O1335" s="54"/>
      <c r="P1335" s="44"/>
    </row>
    <row r="1336" spans="1:16" ht="18.75" hidden="1">
      <c r="A1336" s="56"/>
      <c r="B1336" s="145"/>
      <c r="C1336" s="145"/>
      <c r="D1336" s="145"/>
      <c r="E1336" s="55"/>
      <c r="F1336" s="55"/>
      <c r="G1336" s="55"/>
      <c r="H1336" s="55"/>
      <c r="I1336" s="56"/>
      <c r="J1336" s="63"/>
      <c r="K1336" s="53"/>
      <c r="L1336" s="53"/>
      <c r="M1336" s="53"/>
      <c r="N1336" s="53"/>
      <c r="O1336" s="54"/>
      <c r="P1336" s="44"/>
    </row>
    <row r="1337" spans="1:16" ht="18.75" hidden="1">
      <c r="A1337" s="53"/>
      <c r="B1337" s="53" t="s">
        <v>466</v>
      </c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4"/>
      <c r="P1337" s="44"/>
    </row>
    <row r="1338" spans="1:16" ht="18.75" hidden="1">
      <c r="A1338" s="35"/>
      <c r="B1338" s="53" t="s">
        <v>179</v>
      </c>
      <c r="C1338" s="53"/>
      <c r="D1338" s="140">
        <v>244</v>
      </c>
      <c r="E1338" s="140"/>
      <c r="F1338" s="140"/>
      <c r="G1338" s="56"/>
      <c r="H1338" s="53"/>
      <c r="I1338" s="53"/>
      <c r="J1338" s="53"/>
      <c r="K1338" s="53"/>
      <c r="L1338" s="53"/>
      <c r="M1338" s="53"/>
      <c r="N1338" s="53"/>
      <c r="O1338" s="54"/>
      <c r="P1338" s="44"/>
    </row>
    <row r="1339" spans="1:16" ht="18.75" hidden="1">
      <c r="A1339" s="35"/>
      <c r="B1339" s="53" t="s">
        <v>153</v>
      </c>
      <c r="C1339" s="53"/>
      <c r="D1339" s="142" t="s">
        <v>277</v>
      </c>
      <c r="E1339" s="142"/>
      <c r="F1339" s="142"/>
      <c r="G1339" s="56"/>
      <c r="H1339" s="53"/>
      <c r="I1339" s="53"/>
      <c r="J1339" s="53"/>
      <c r="K1339" s="53"/>
      <c r="L1339" s="53"/>
      <c r="M1339" s="53"/>
      <c r="N1339" s="53"/>
      <c r="O1339" s="54"/>
      <c r="P1339" s="44"/>
    </row>
    <row r="1340" spans="1:16" ht="18.75" hidden="1">
      <c r="A1340" s="53"/>
      <c r="B1340" s="53"/>
      <c r="C1340" s="56"/>
      <c r="D1340" s="56"/>
      <c r="E1340" s="56"/>
      <c r="F1340" s="56"/>
      <c r="G1340" s="53"/>
      <c r="H1340" s="53"/>
      <c r="I1340" s="53"/>
      <c r="J1340" s="53"/>
      <c r="K1340" s="53"/>
      <c r="L1340" s="53"/>
      <c r="M1340" s="53"/>
      <c r="N1340" s="53"/>
      <c r="O1340" s="54"/>
      <c r="P1340" s="44"/>
    </row>
    <row r="1341" spans="1:16" ht="18.75" hidden="1">
      <c r="A1341" s="53"/>
      <c r="B1341" s="53" t="s">
        <v>467</v>
      </c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4"/>
      <c r="P1341" s="44"/>
    </row>
    <row r="1342" spans="1:16" ht="18.75" hidden="1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4"/>
      <c r="P1342" s="44"/>
    </row>
    <row r="1343" spans="1:16" ht="37.5" customHeight="1" hidden="1">
      <c r="A1343" s="49" t="s">
        <v>155</v>
      </c>
      <c r="B1343" s="259" t="s">
        <v>0</v>
      </c>
      <c r="C1343" s="259"/>
      <c r="D1343" s="259"/>
      <c r="E1343" s="259" t="s">
        <v>168</v>
      </c>
      <c r="F1343" s="259"/>
      <c r="G1343" s="259" t="s">
        <v>188</v>
      </c>
      <c r="H1343" s="259"/>
      <c r="I1343" s="61" t="s">
        <v>173</v>
      </c>
      <c r="J1343" s="53"/>
      <c r="K1343" s="53"/>
      <c r="L1343" s="53"/>
      <c r="M1343" s="53"/>
      <c r="N1343" s="53"/>
      <c r="O1343" s="54"/>
      <c r="P1343" s="60"/>
    </row>
    <row r="1344" spans="1:16" ht="18.75" hidden="1">
      <c r="A1344" s="187">
        <v>1</v>
      </c>
      <c r="B1344" s="203">
        <v>2</v>
      </c>
      <c r="C1344" s="203"/>
      <c r="D1344" s="203"/>
      <c r="E1344" s="203">
        <v>3</v>
      </c>
      <c r="F1344" s="203"/>
      <c r="G1344" s="203">
        <v>4</v>
      </c>
      <c r="H1344" s="203"/>
      <c r="I1344" s="187">
        <v>5</v>
      </c>
      <c r="J1344" s="193"/>
      <c r="K1344" s="193"/>
      <c r="L1344" s="193"/>
      <c r="M1344" s="193"/>
      <c r="N1344" s="193"/>
      <c r="O1344" s="62"/>
      <c r="P1344" s="45"/>
    </row>
    <row r="1345" spans="1:16" ht="18.75" customHeight="1" hidden="1">
      <c r="A1345" s="49">
        <v>1</v>
      </c>
      <c r="B1345" s="262" t="s">
        <v>218</v>
      </c>
      <c r="C1345" s="262"/>
      <c r="D1345" s="262"/>
      <c r="E1345" s="203">
        <v>226</v>
      </c>
      <c r="F1345" s="203"/>
      <c r="G1345" s="203">
        <v>12</v>
      </c>
      <c r="H1345" s="203"/>
      <c r="I1345" s="52">
        <v>208581</v>
      </c>
      <c r="J1345" s="53"/>
      <c r="K1345" s="53"/>
      <c r="L1345" s="53"/>
      <c r="M1345" s="53"/>
      <c r="N1345" s="53"/>
      <c r="O1345" s="54"/>
      <c r="P1345" s="44"/>
    </row>
    <row r="1346" spans="1:16" ht="18.75" hidden="1">
      <c r="A1346" s="49"/>
      <c r="B1346" s="201" t="s">
        <v>130</v>
      </c>
      <c r="C1346" s="226"/>
      <c r="D1346" s="202"/>
      <c r="E1346" s="203"/>
      <c r="F1346" s="203"/>
      <c r="G1346" s="203" t="s">
        <v>6</v>
      </c>
      <c r="H1346" s="203"/>
      <c r="I1346" s="52">
        <f>SUM(I1345:I1345)</f>
        <v>208581</v>
      </c>
      <c r="J1346" s="53"/>
      <c r="K1346" s="53"/>
      <c r="L1346" s="53"/>
      <c r="M1346" s="53"/>
      <c r="N1346" s="53"/>
      <c r="O1346" s="54"/>
      <c r="P1346" s="46"/>
    </row>
    <row r="1347" spans="1:16" ht="18.75" hidden="1">
      <c r="A1347" s="56"/>
      <c r="B1347" s="56"/>
      <c r="C1347" s="56"/>
      <c r="D1347" s="56"/>
      <c r="E1347" s="63"/>
      <c r="F1347" s="56"/>
      <c r="G1347" s="53"/>
      <c r="H1347" s="53"/>
      <c r="I1347" s="53"/>
      <c r="J1347" s="53"/>
      <c r="K1347" s="53"/>
      <c r="L1347" s="53"/>
      <c r="M1347" s="53"/>
      <c r="N1347" s="53"/>
      <c r="O1347" s="54"/>
      <c r="P1347" s="44"/>
    </row>
    <row r="1348" spans="1:16" ht="18.75" hidden="1">
      <c r="A1348" s="53"/>
      <c r="B1348" s="53" t="s">
        <v>468</v>
      </c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4"/>
      <c r="P1348" s="44"/>
    </row>
    <row r="1349" spans="1:16" ht="18.75" hidden="1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4"/>
      <c r="P1349" s="44"/>
    </row>
    <row r="1350" spans="1:16" ht="56.25" customHeight="1" hidden="1">
      <c r="A1350" s="49" t="s">
        <v>155</v>
      </c>
      <c r="B1350" s="259" t="s">
        <v>0</v>
      </c>
      <c r="C1350" s="259"/>
      <c r="D1350" s="259"/>
      <c r="E1350" s="259" t="s">
        <v>168</v>
      </c>
      <c r="F1350" s="259"/>
      <c r="G1350" s="259" t="s">
        <v>189</v>
      </c>
      <c r="H1350" s="259"/>
      <c r="I1350" s="61" t="s">
        <v>190</v>
      </c>
      <c r="J1350" s="61" t="s">
        <v>191</v>
      </c>
      <c r="K1350" s="53"/>
      <c r="L1350" s="53"/>
      <c r="M1350" s="53"/>
      <c r="N1350" s="53"/>
      <c r="O1350" s="54"/>
      <c r="P1350" s="60"/>
    </row>
    <row r="1351" spans="1:16" ht="18.75" hidden="1">
      <c r="A1351" s="187">
        <v>1</v>
      </c>
      <c r="B1351" s="203">
        <v>2</v>
      </c>
      <c r="C1351" s="203"/>
      <c r="D1351" s="203"/>
      <c r="E1351" s="203">
        <v>3</v>
      </c>
      <c r="F1351" s="203"/>
      <c r="G1351" s="203">
        <v>4</v>
      </c>
      <c r="H1351" s="203"/>
      <c r="I1351" s="187">
        <v>5</v>
      </c>
      <c r="J1351" s="187">
        <v>6</v>
      </c>
      <c r="K1351" s="193"/>
      <c r="L1351" s="193"/>
      <c r="M1351" s="193"/>
      <c r="N1351" s="193"/>
      <c r="O1351" s="62"/>
      <c r="P1351" s="45"/>
    </row>
    <row r="1352" spans="1:16" ht="18.75" customHeight="1" hidden="1">
      <c r="A1352" s="49">
        <v>1</v>
      </c>
      <c r="B1352" s="198" t="s">
        <v>283</v>
      </c>
      <c r="C1352" s="199"/>
      <c r="D1352" s="200"/>
      <c r="E1352" s="203">
        <v>310</v>
      </c>
      <c r="F1352" s="203"/>
      <c r="G1352" s="264">
        <v>8</v>
      </c>
      <c r="H1352" s="264"/>
      <c r="I1352" s="52">
        <f>J1352/G1352</f>
        <v>25000</v>
      </c>
      <c r="J1352" s="52">
        <v>200000</v>
      </c>
      <c r="K1352" s="53"/>
      <c r="L1352" s="53"/>
      <c r="M1352" s="53"/>
      <c r="N1352" s="53"/>
      <c r="O1352" s="54"/>
      <c r="P1352" s="44"/>
    </row>
    <row r="1353" spans="1:16" ht="18.75" hidden="1">
      <c r="A1353" s="49"/>
      <c r="B1353" s="203" t="s">
        <v>130</v>
      </c>
      <c r="C1353" s="203"/>
      <c r="D1353" s="203"/>
      <c r="E1353" s="203"/>
      <c r="F1353" s="203"/>
      <c r="G1353" s="203"/>
      <c r="H1353" s="203"/>
      <c r="I1353" s="49" t="s">
        <v>6</v>
      </c>
      <c r="J1353" s="183">
        <f>SUM(J1352:J1352)</f>
        <v>200000</v>
      </c>
      <c r="K1353" s="53"/>
      <c r="L1353" s="53"/>
      <c r="M1353" s="53"/>
      <c r="N1353" s="53"/>
      <c r="O1353" s="54"/>
      <c r="P1353" s="47"/>
    </row>
    <row r="1354" spans="1:16" ht="18.75" hidden="1">
      <c r="A1354" s="56"/>
      <c r="B1354" s="56"/>
      <c r="C1354" s="56"/>
      <c r="D1354" s="56"/>
      <c r="E1354" s="56"/>
      <c r="F1354" s="146"/>
      <c r="G1354" s="53"/>
      <c r="H1354" s="53"/>
      <c r="I1354" s="53"/>
      <c r="J1354" s="53"/>
      <c r="K1354" s="53"/>
      <c r="L1354" s="53"/>
      <c r="M1354" s="53"/>
      <c r="N1354" s="53"/>
      <c r="O1354" s="54"/>
      <c r="P1354" s="47"/>
    </row>
    <row r="1355" spans="1:16" ht="18.75" hidden="1">
      <c r="A1355" s="53"/>
      <c r="B1355" s="53" t="s">
        <v>469</v>
      </c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4"/>
      <c r="P1355" s="47"/>
    </row>
    <row r="1356" spans="1:16" ht="18.75" hidden="1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4"/>
      <c r="P1356" s="47"/>
    </row>
    <row r="1357" spans="1:16" ht="56.25" customHeight="1" hidden="1">
      <c r="A1357" s="49" t="s">
        <v>155</v>
      </c>
      <c r="B1357" s="259" t="s">
        <v>0</v>
      </c>
      <c r="C1357" s="259"/>
      <c r="D1357" s="259"/>
      <c r="E1357" s="259" t="s">
        <v>168</v>
      </c>
      <c r="F1357" s="259"/>
      <c r="G1357" s="259" t="s">
        <v>189</v>
      </c>
      <c r="H1357" s="259"/>
      <c r="I1357" s="61" t="s">
        <v>190</v>
      </c>
      <c r="J1357" s="61" t="s">
        <v>219</v>
      </c>
      <c r="K1357" s="53"/>
      <c r="L1357" s="53"/>
      <c r="M1357" s="53"/>
      <c r="N1357" s="53"/>
      <c r="O1357" s="54"/>
      <c r="P1357" s="47"/>
    </row>
    <row r="1358" spans="1:16" ht="18.75" hidden="1">
      <c r="A1358" s="187">
        <v>1</v>
      </c>
      <c r="B1358" s="203">
        <v>2</v>
      </c>
      <c r="C1358" s="203"/>
      <c r="D1358" s="203"/>
      <c r="E1358" s="203">
        <v>3</v>
      </c>
      <c r="F1358" s="203"/>
      <c r="G1358" s="203">
        <v>4</v>
      </c>
      <c r="H1358" s="203"/>
      <c r="I1358" s="187">
        <v>5</v>
      </c>
      <c r="J1358" s="187">
        <v>6</v>
      </c>
      <c r="K1358" s="193"/>
      <c r="L1358" s="193"/>
      <c r="M1358" s="53"/>
      <c r="N1358" s="53"/>
      <c r="O1358" s="54"/>
      <c r="P1358" s="47"/>
    </row>
    <row r="1359" spans="1:16" ht="18.75" customHeight="1" hidden="1">
      <c r="A1359" s="49">
        <v>1</v>
      </c>
      <c r="B1359" s="211" t="s">
        <v>284</v>
      </c>
      <c r="C1359" s="211"/>
      <c r="D1359" s="211"/>
      <c r="E1359" s="203">
        <v>346</v>
      </c>
      <c r="F1359" s="203"/>
      <c r="G1359" s="203">
        <v>1</v>
      </c>
      <c r="H1359" s="203"/>
      <c r="I1359" s="52">
        <f>J1359/G1359</f>
        <v>90000</v>
      </c>
      <c r="J1359" s="52">
        <v>90000</v>
      </c>
      <c r="K1359" s="53"/>
      <c r="L1359" s="53"/>
      <c r="M1359" s="53"/>
      <c r="N1359" s="53"/>
      <c r="O1359" s="54"/>
      <c r="P1359" s="47"/>
    </row>
    <row r="1360" spans="1:16" ht="18.75" customHeight="1" hidden="1">
      <c r="A1360" s="49">
        <v>2</v>
      </c>
      <c r="B1360" s="211" t="s">
        <v>285</v>
      </c>
      <c r="C1360" s="211"/>
      <c r="D1360" s="211"/>
      <c r="E1360" s="203">
        <v>346</v>
      </c>
      <c r="F1360" s="203"/>
      <c r="G1360" s="203">
        <v>1</v>
      </c>
      <c r="H1360" s="203"/>
      <c r="I1360" s="52">
        <f>J1360/G1360</f>
        <v>41419</v>
      </c>
      <c r="J1360" s="52">
        <v>41419</v>
      </c>
      <c r="K1360" s="53"/>
      <c r="L1360" s="53"/>
      <c r="M1360" s="53"/>
      <c r="N1360" s="53"/>
      <c r="O1360" s="54"/>
      <c r="P1360" s="47"/>
    </row>
    <row r="1361" spans="1:16" ht="18.75" hidden="1">
      <c r="A1361" s="49"/>
      <c r="B1361" s="201" t="s">
        <v>130</v>
      </c>
      <c r="C1361" s="226"/>
      <c r="D1361" s="202"/>
      <c r="E1361" s="203"/>
      <c r="F1361" s="203"/>
      <c r="G1361" s="203"/>
      <c r="H1361" s="203"/>
      <c r="I1361" s="49" t="s">
        <v>6</v>
      </c>
      <c r="J1361" s="52">
        <f>SUM(J1359:J1360)</f>
        <v>131419</v>
      </c>
      <c r="K1361" s="53"/>
      <c r="L1361" s="53"/>
      <c r="M1361" s="53"/>
      <c r="N1361" s="53"/>
      <c r="O1361" s="54"/>
      <c r="P1361" s="47"/>
    </row>
    <row r="1362" spans="1:16" ht="51.75" customHeight="1" hidden="1">
      <c r="A1362" s="53"/>
      <c r="B1362" s="53" t="s">
        <v>470</v>
      </c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6"/>
      <c r="P1362" s="44"/>
    </row>
    <row r="1363" spans="1:16" ht="17.25" customHeight="1" hidden="1">
      <c r="A1363" s="53"/>
      <c r="B1363" s="53" t="s">
        <v>152</v>
      </c>
      <c r="C1363" s="53"/>
      <c r="D1363" s="192">
        <v>100</v>
      </c>
      <c r="E1363" s="56"/>
      <c r="F1363" s="56"/>
      <c r="G1363" s="56"/>
      <c r="H1363" s="56"/>
      <c r="I1363" s="56"/>
      <c r="J1363" s="53"/>
      <c r="K1363" s="53"/>
      <c r="L1363" s="53"/>
      <c r="M1363" s="53"/>
      <c r="N1363" s="53"/>
      <c r="O1363" s="56"/>
      <c r="P1363" s="44"/>
    </row>
    <row r="1364" spans="1:16" ht="34.5" customHeight="1" hidden="1">
      <c r="A1364" s="53"/>
      <c r="B1364" s="53" t="s">
        <v>153</v>
      </c>
      <c r="C1364" s="53"/>
      <c r="D1364" s="53"/>
      <c r="E1364" s="55" t="s">
        <v>347</v>
      </c>
      <c r="F1364" s="56" t="s">
        <v>228</v>
      </c>
      <c r="G1364" s="56"/>
      <c r="H1364" s="56"/>
      <c r="I1364" s="56"/>
      <c r="J1364" s="56"/>
      <c r="K1364" s="53"/>
      <c r="L1364" s="53"/>
      <c r="M1364" s="53"/>
      <c r="N1364" s="53"/>
      <c r="O1364" s="56"/>
      <c r="P1364" s="44"/>
    </row>
    <row r="1365" spans="1:16" ht="27" customHeight="1" hidden="1">
      <c r="A1365" s="53"/>
      <c r="B1365" s="53" t="s">
        <v>471</v>
      </c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6"/>
      <c r="P1365" s="44"/>
    </row>
    <row r="1366" spans="1:16" ht="4.5" customHeight="1" hidden="1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6"/>
      <c r="P1366" s="44"/>
    </row>
    <row r="1367" spans="1:16" ht="72.75" customHeight="1" hidden="1">
      <c r="A1367" s="124" t="s">
        <v>155</v>
      </c>
      <c r="B1367" s="260" t="s">
        <v>156</v>
      </c>
      <c r="C1367" s="260"/>
      <c r="D1367" s="260"/>
      <c r="E1367" s="260"/>
      <c r="F1367" s="260" t="s">
        <v>157</v>
      </c>
      <c r="G1367" s="260"/>
      <c r="H1367" s="188" t="s">
        <v>158</v>
      </c>
      <c r="I1367" s="188" t="s">
        <v>159</v>
      </c>
      <c r="J1367" s="232" t="s">
        <v>348</v>
      </c>
      <c r="K1367" s="233"/>
      <c r="L1367" s="117"/>
      <c r="M1367" s="117"/>
      <c r="N1367" s="53"/>
      <c r="O1367" s="56"/>
      <c r="P1367" s="44"/>
    </row>
    <row r="1368" spans="1:16" ht="21.75" customHeight="1" hidden="1">
      <c r="A1368" s="187">
        <v>1</v>
      </c>
      <c r="B1368" s="232">
        <v>2</v>
      </c>
      <c r="C1368" s="237"/>
      <c r="D1368" s="237"/>
      <c r="E1368" s="233"/>
      <c r="F1368" s="227">
        <v>3</v>
      </c>
      <c r="G1368" s="228"/>
      <c r="H1368" s="191">
        <v>4</v>
      </c>
      <c r="I1368" s="119">
        <v>5</v>
      </c>
      <c r="J1368" s="227">
        <v>6</v>
      </c>
      <c r="K1368" s="228"/>
      <c r="L1368" s="193"/>
      <c r="M1368" s="193"/>
      <c r="N1368" s="53"/>
      <c r="O1368" s="56"/>
      <c r="P1368" s="44"/>
    </row>
    <row r="1369" spans="1:16" ht="75.75" customHeight="1" hidden="1">
      <c r="A1369" s="125">
        <v>1</v>
      </c>
      <c r="B1369" s="198" t="s">
        <v>349</v>
      </c>
      <c r="C1369" s="199"/>
      <c r="D1369" s="199"/>
      <c r="E1369" s="200"/>
      <c r="F1369" s="203">
        <v>211</v>
      </c>
      <c r="G1369" s="203"/>
      <c r="H1369" s="173">
        <f>J1369/I1369</f>
        <v>205000</v>
      </c>
      <c r="I1369" s="120">
        <v>12</v>
      </c>
      <c r="J1369" s="215">
        <v>2460000</v>
      </c>
      <c r="K1369" s="215"/>
      <c r="L1369" s="53"/>
      <c r="M1369" s="130"/>
      <c r="N1369" s="53"/>
      <c r="O1369" s="56"/>
      <c r="P1369" s="44"/>
    </row>
    <row r="1370" spans="1:16" ht="24.75" customHeight="1" hidden="1">
      <c r="A1370" s="49"/>
      <c r="B1370" s="201" t="s">
        <v>130</v>
      </c>
      <c r="C1370" s="226"/>
      <c r="D1370" s="226"/>
      <c r="E1370" s="202"/>
      <c r="F1370" s="203"/>
      <c r="G1370" s="203"/>
      <c r="H1370" s="135" t="s">
        <v>6</v>
      </c>
      <c r="I1370" s="136" t="s">
        <v>6</v>
      </c>
      <c r="J1370" s="215">
        <f>SUM(J1369:K1369)</f>
        <v>2460000</v>
      </c>
      <c r="K1370" s="215"/>
      <c r="L1370" s="53"/>
      <c r="M1370" s="53"/>
      <c r="N1370" s="53"/>
      <c r="O1370" s="56"/>
      <c r="P1370" s="44"/>
    </row>
    <row r="1371" spans="1:16" ht="4.5" customHeight="1" hidden="1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6"/>
      <c r="P1371" s="44"/>
    </row>
    <row r="1372" spans="1:16" ht="36" customHeight="1" hidden="1">
      <c r="A1372" s="53"/>
      <c r="B1372" s="53" t="s">
        <v>472</v>
      </c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6"/>
      <c r="P1372" s="44"/>
    </row>
    <row r="1373" spans="1:16" ht="21" customHeight="1" hidden="1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130"/>
      <c r="N1373" s="53"/>
      <c r="O1373" s="56"/>
      <c r="P1373" s="44"/>
    </row>
    <row r="1374" spans="1:16" ht="72.75" customHeight="1" hidden="1">
      <c r="A1374" s="124" t="s">
        <v>155</v>
      </c>
      <c r="B1374" s="234" t="s">
        <v>167</v>
      </c>
      <c r="C1374" s="235"/>
      <c r="D1374" s="235"/>
      <c r="E1374" s="236"/>
      <c r="F1374" s="232" t="s">
        <v>157</v>
      </c>
      <c r="G1374" s="233"/>
      <c r="H1374" s="188" t="s">
        <v>350</v>
      </c>
      <c r="I1374" s="232" t="s">
        <v>351</v>
      </c>
      <c r="J1374" s="233"/>
      <c r="K1374" s="117"/>
      <c r="L1374" s="117"/>
      <c r="M1374" s="134"/>
      <c r="N1374" s="53"/>
      <c r="O1374" s="56"/>
      <c r="P1374" s="44"/>
    </row>
    <row r="1375" spans="1:16" ht="24.75" customHeight="1" hidden="1">
      <c r="A1375" s="187">
        <v>1</v>
      </c>
      <c r="B1375" s="201">
        <v>2</v>
      </c>
      <c r="C1375" s="226"/>
      <c r="D1375" s="226"/>
      <c r="E1375" s="202"/>
      <c r="F1375" s="201">
        <v>3</v>
      </c>
      <c r="G1375" s="202"/>
      <c r="H1375" s="187">
        <v>4</v>
      </c>
      <c r="I1375" s="201">
        <v>5</v>
      </c>
      <c r="J1375" s="202"/>
      <c r="K1375" s="53"/>
      <c r="L1375" s="53"/>
      <c r="M1375" s="53"/>
      <c r="N1375" s="53"/>
      <c r="O1375" s="56"/>
      <c r="P1375" s="44"/>
    </row>
    <row r="1376" spans="1:16" ht="92.25" customHeight="1" hidden="1">
      <c r="A1376" s="49">
        <v>1</v>
      </c>
      <c r="B1376" s="204" t="s">
        <v>352</v>
      </c>
      <c r="C1376" s="205"/>
      <c r="D1376" s="205"/>
      <c r="E1376" s="206"/>
      <c r="F1376" s="201">
        <v>213</v>
      </c>
      <c r="G1376" s="202"/>
      <c r="H1376" s="123">
        <v>30.2</v>
      </c>
      <c r="I1376" s="209">
        <v>742900</v>
      </c>
      <c r="J1376" s="210"/>
      <c r="K1376" s="130"/>
      <c r="L1376" s="130"/>
      <c r="M1376" s="53"/>
      <c r="N1376" s="53"/>
      <c r="O1376" s="56"/>
      <c r="P1376" s="44"/>
    </row>
    <row r="1377" spans="1:16" ht="25.5" customHeight="1" hidden="1">
      <c r="A1377" s="49"/>
      <c r="B1377" s="201" t="s">
        <v>130</v>
      </c>
      <c r="C1377" s="226"/>
      <c r="D1377" s="226"/>
      <c r="E1377" s="202"/>
      <c r="F1377" s="201"/>
      <c r="G1377" s="202"/>
      <c r="H1377" s="49" t="s">
        <v>172</v>
      </c>
      <c r="I1377" s="209">
        <f>SUM(I1376:J1376)</f>
        <v>742900</v>
      </c>
      <c r="J1377" s="210"/>
      <c r="K1377" s="53"/>
      <c r="L1377" s="53"/>
      <c r="M1377" s="53"/>
      <c r="N1377" s="53"/>
      <c r="O1377" s="56"/>
      <c r="P1377" s="44"/>
    </row>
    <row r="1378" spans="1:16" ht="18" customHeight="1" hidden="1">
      <c r="A1378" s="53"/>
      <c r="B1378" s="53"/>
      <c r="C1378" s="53"/>
      <c r="D1378" s="53"/>
      <c r="E1378" s="53"/>
      <c r="F1378" s="56"/>
      <c r="G1378" s="56"/>
      <c r="H1378" s="56"/>
      <c r="I1378" s="56"/>
      <c r="J1378" s="56"/>
      <c r="K1378" s="53"/>
      <c r="L1378" s="53"/>
      <c r="M1378" s="53"/>
      <c r="N1378" s="53"/>
      <c r="O1378" s="56"/>
      <c r="P1378" s="44"/>
    </row>
    <row r="1379" spans="1:16" ht="18.75" hidden="1">
      <c r="A1379" s="53"/>
      <c r="B1379" s="53" t="s">
        <v>473</v>
      </c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6"/>
      <c r="P1379" s="44"/>
    </row>
    <row r="1380" spans="1:16" ht="18.75" hidden="1">
      <c r="A1380" s="53"/>
      <c r="B1380" s="53" t="s">
        <v>152</v>
      </c>
      <c r="C1380" s="53"/>
      <c r="D1380" s="140">
        <v>244</v>
      </c>
      <c r="E1380" s="140"/>
      <c r="F1380" s="140"/>
      <c r="G1380" s="140"/>
      <c r="H1380" s="56"/>
      <c r="I1380" s="53"/>
      <c r="J1380" s="53"/>
      <c r="K1380" s="53"/>
      <c r="L1380" s="53"/>
      <c r="M1380" s="53"/>
      <c r="N1380" s="53"/>
      <c r="O1380" s="56"/>
      <c r="P1380" s="44"/>
    </row>
    <row r="1381" spans="1:16" ht="18.75" hidden="1">
      <c r="A1381" s="53"/>
      <c r="B1381" s="53" t="s">
        <v>153</v>
      </c>
      <c r="C1381" s="53"/>
      <c r="D1381" s="53"/>
      <c r="E1381" s="53"/>
      <c r="F1381" s="142" t="s">
        <v>228</v>
      </c>
      <c r="G1381" s="142"/>
      <c r="H1381" s="142"/>
      <c r="I1381" s="142"/>
      <c r="J1381" s="56"/>
      <c r="K1381" s="53"/>
      <c r="L1381" s="53"/>
      <c r="M1381" s="53"/>
      <c r="N1381" s="53"/>
      <c r="O1381" s="56"/>
      <c r="P1381" s="44"/>
    </row>
    <row r="1382" spans="1:16" ht="18.75" hidden="1">
      <c r="A1382" s="53"/>
      <c r="B1382" s="53"/>
      <c r="C1382" s="53"/>
      <c r="D1382" s="53"/>
      <c r="E1382" s="53"/>
      <c r="F1382" s="56"/>
      <c r="G1382" s="56"/>
      <c r="H1382" s="56"/>
      <c r="I1382" s="56"/>
      <c r="J1382" s="56"/>
      <c r="K1382" s="53"/>
      <c r="L1382" s="53"/>
      <c r="M1382" s="53"/>
      <c r="N1382" s="53"/>
      <c r="O1382" s="56"/>
      <c r="P1382" s="44"/>
    </row>
    <row r="1383" spans="1:16" ht="18.75" hidden="1">
      <c r="A1383" s="53"/>
      <c r="B1383" s="95" t="s">
        <v>474</v>
      </c>
      <c r="C1383" s="95"/>
      <c r="D1383" s="95"/>
      <c r="E1383" s="95"/>
      <c r="F1383" s="95"/>
      <c r="G1383" s="95"/>
      <c r="H1383" s="95"/>
      <c r="I1383" s="95"/>
      <c r="J1383" s="56"/>
      <c r="K1383" s="53"/>
      <c r="L1383" s="53"/>
      <c r="M1383" s="53"/>
      <c r="N1383" s="53"/>
      <c r="O1383" s="56"/>
      <c r="P1383" s="44"/>
    </row>
    <row r="1384" spans="1:16" ht="18.75" hidden="1">
      <c r="A1384" s="53"/>
      <c r="B1384" s="53"/>
      <c r="C1384" s="53"/>
      <c r="D1384" s="53"/>
      <c r="E1384" s="53"/>
      <c r="F1384" s="56"/>
      <c r="G1384" s="56"/>
      <c r="H1384" s="56"/>
      <c r="I1384" s="56"/>
      <c r="J1384" s="56"/>
      <c r="K1384" s="53"/>
      <c r="L1384" s="53"/>
      <c r="M1384" s="53"/>
      <c r="N1384" s="53"/>
      <c r="O1384" s="56"/>
      <c r="P1384" s="44"/>
    </row>
    <row r="1385" spans="1:16" ht="93.75" hidden="1">
      <c r="A1385" s="107" t="s">
        <v>155</v>
      </c>
      <c r="B1385" s="216" t="s">
        <v>156</v>
      </c>
      <c r="C1385" s="217"/>
      <c r="D1385" s="218"/>
      <c r="E1385" s="100" t="s">
        <v>168</v>
      </c>
      <c r="F1385" s="216" t="s">
        <v>249</v>
      </c>
      <c r="G1385" s="218"/>
      <c r="H1385" s="216" t="s">
        <v>250</v>
      </c>
      <c r="I1385" s="218"/>
      <c r="J1385" s="100" t="s">
        <v>251</v>
      </c>
      <c r="K1385" s="100" t="s">
        <v>177</v>
      </c>
      <c r="L1385" s="53"/>
      <c r="M1385" s="53"/>
      <c r="N1385" s="53"/>
      <c r="O1385" s="56"/>
      <c r="P1385" s="44"/>
    </row>
    <row r="1386" spans="1:16" ht="18.75" hidden="1">
      <c r="A1386" s="103">
        <v>1</v>
      </c>
      <c r="B1386" s="207">
        <v>2</v>
      </c>
      <c r="C1386" s="219"/>
      <c r="D1386" s="208"/>
      <c r="E1386" s="103">
        <v>3</v>
      </c>
      <c r="F1386" s="207">
        <v>4</v>
      </c>
      <c r="G1386" s="208"/>
      <c r="H1386" s="207">
        <v>5</v>
      </c>
      <c r="I1386" s="208"/>
      <c r="J1386" s="103">
        <v>6</v>
      </c>
      <c r="K1386" s="103">
        <v>7</v>
      </c>
      <c r="L1386" s="53"/>
      <c r="M1386" s="53"/>
      <c r="N1386" s="53"/>
      <c r="O1386" s="56"/>
      <c r="P1386" s="44"/>
    </row>
    <row r="1387" spans="1:16" ht="117.75" customHeight="1" hidden="1">
      <c r="A1387" s="107">
        <v>1</v>
      </c>
      <c r="B1387" s="204" t="s">
        <v>248</v>
      </c>
      <c r="C1387" s="205"/>
      <c r="D1387" s="206"/>
      <c r="E1387" s="107">
        <v>226</v>
      </c>
      <c r="F1387" s="207">
        <v>94</v>
      </c>
      <c r="G1387" s="208"/>
      <c r="H1387" s="207">
        <v>10</v>
      </c>
      <c r="I1387" s="208"/>
      <c r="J1387" s="109">
        <v>164</v>
      </c>
      <c r="K1387" s="109">
        <v>50000</v>
      </c>
      <c r="L1387" s="53"/>
      <c r="M1387" s="53"/>
      <c r="N1387" s="53"/>
      <c r="O1387" s="56"/>
      <c r="P1387" s="44"/>
    </row>
    <row r="1388" spans="1:16" ht="18.75" hidden="1">
      <c r="A1388" s="107"/>
      <c r="B1388" s="207" t="s">
        <v>130</v>
      </c>
      <c r="C1388" s="219"/>
      <c r="D1388" s="208"/>
      <c r="E1388" s="107"/>
      <c r="F1388" s="207" t="s">
        <v>172</v>
      </c>
      <c r="G1388" s="208"/>
      <c r="H1388" s="207" t="s">
        <v>172</v>
      </c>
      <c r="I1388" s="208"/>
      <c r="J1388" s="107" t="s">
        <v>172</v>
      </c>
      <c r="K1388" s="131">
        <f>SUM(K1387:K1387)</f>
        <v>50000</v>
      </c>
      <c r="L1388" s="53"/>
      <c r="M1388" s="53"/>
      <c r="N1388" s="53"/>
      <c r="O1388" s="56"/>
      <c r="P1388" s="44"/>
    </row>
    <row r="1389" spans="1:16" ht="18.75" hidden="1">
      <c r="A1389" s="94"/>
      <c r="B1389" s="137"/>
      <c r="C1389" s="137"/>
      <c r="D1389" s="137"/>
      <c r="E1389" s="94"/>
      <c r="F1389" s="138"/>
      <c r="G1389" s="138"/>
      <c r="H1389" s="138"/>
      <c r="I1389" s="138"/>
      <c r="J1389" s="94"/>
      <c r="K1389" s="139"/>
      <c r="L1389" s="53"/>
      <c r="M1389" s="53"/>
      <c r="N1389" s="53"/>
      <c r="O1389" s="56"/>
      <c r="P1389" s="44"/>
    </row>
    <row r="1390" spans="1:16" ht="18.75" hidden="1">
      <c r="A1390" s="53"/>
      <c r="B1390" s="95" t="s">
        <v>475</v>
      </c>
      <c r="C1390" s="95"/>
      <c r="D1390" s="95"/>
      <c r="E1390" s="95"/>
      <c r="F1390" s="95"/>
      <c r="G1390" s="95"/>
      <c r="H1390" s="95"/>
      <c r="I1390" s="95"/>
      <c r="J1390" s="56"/>
      <c r="K1390" s="53"/>
      <c r="L1390" s="53"/>
      <c r="M1390" s="53"/>
      <c r="N1390" s="53"/>
      <c r="O1390" s="56"/>
      <c r="P1390" s="44"/>
    </row>
    <row r="1391" spans="1:16" ht="18.75" hidden="1">
      <c r="A1391" s="53"/>
      <c r="B1391" s="53"/>
      <c r="C1391" s="53"/>
      <c r="D1391" s="53"/>
      <c r="E1391" s="53"/>
      <c r="F1391" s="56"/>
      <c r="G1391" s="56"/>
      <c r="H1391" s="56"/>
      <c r="I1391" s="56"/>
      <c r="J1391" s="56"/>
      <c r="K1391" s="53"/>
      <c r="L1391" s="53"/>
      <c r="M1391" s="53"/>
      <c r="N1391" s="53"/>
      <c r="O1391" s="56"/>
      <c r="P1391" s="44"/>
    </row>
    <row r="1392" spans="1:16" ht="93.75" hidden="1">
      <c r="A1392" s="107" t="s">
        <v>155</v>
      </c>
      <c r="B1392" s="216" t="s">
        <v>156</v>
      </c>
      <c r="C1392" s="217"/>
      <c r="D1392" s="218"/>
      <c r="E1392" s="100" t="s">
        <v>168</v>
      </c>
      <c r="F1392" s="216" t="s">
        <v>369</v>
      </c>
      <c r="G1392" s="218"/>
      <c r="H1392" s="100" t="s">
        <v>177</v>
      </c>
      <c r="I1392" s="53"/>
      <c r="J1392" s="53"/>
      <c r="K1392" s="53"/>
      <c r="L1392" s="54"/>
      <c r="M1392" s="53"/>
      <c r="N1392" s="53"/>
      <c r="O1392" s="56"/>
      <c r="P1392" s="44"/>
    </row>
    <row r="1393" spans="1:16" ht="18.75" hidden="1">
      <c r="A1393" s="103">
        <v>1</v>
      </c>
      <c r="B1393" s="207">
        <v>2</v>
      </c>
      <c r="C1393" s="219"/>
      <c r="D1393" s="208"/>
      <c r="E1393" s="103">
        <v>3</v>
      </c>
      <c r="F1393" s="207">
        <v>4</v>
      </c>
      <c r="G1393" s="208"/>
      <c r="H1393" s="103">
        <v>5</v>
      </c>
      <c r="I1393" s="53"/>
      <c r="J1393" s="53"/>
      <c r="K1393" s="53"/>
      <c r="L1393" s="54"/>
      <c r="M1393" s="53"/>
      <c r="N1393" s="53"/>
      <c r="O1393" s="56"/>
      <c r="P1393" s="44"/>
    </row>
    <row r="1394" spans="1:16" ht="99.75" customHeight="1" hidden="1">
      <c r="A1394" s="107">
        <v>1</v>
      </c>
      <c r="B1394" s="204" t="s">
        <v>346</v>
      </c>
      <c r="C1394" s="205"/>
      <c r="D1394" s="206"/>
      <c r="E1394" s="107">
        <v>226</v>
      </c>
      <c r="F1394" s="207">
        <v>1</v>
      </c>
      <c r="G1394" s="208"/>
      <c r="H1394" s="109">
        <v>5307100</v>
      </c>
      <c r="I1394" s="53"/>
      <c r="J1394" s="53"/>
      <c r="K1394" s="53"/>
      <c r="L1394" s="54"/>
      <c r="M1394" s="53"/>
      <c r="N1394" s="53"/>
      <c r="O1394" s="56"/>
      <c r="P1394" s="44"/>
    </row>
    <row r="1395" spans="1:16" ht="18.75" hidden="1">
      <c r="A1395" s="107"/>
      <c r="B1395" s="207" t="s">
        <v>130</v>
      </c>
      <c r="C1395" s="219"/>
      <c r="D1395" s="208"/>
      <c r="E1395" s="107"/>
      <c r="F1395" s="207" t="s">
        <v>172</v>
      </c>
      <c r="G1395" s="208"/>
      <c r="H1395" s="131">
        <f>SUM(H1394:H1394)</f>
        <v>5307100</v>
      </c>
      <c r="I1395" s="53"/>
      <c r="J1395" s="53"/>
      <c r="K1395" s="53"/>
      <c r="L1395" s="54"/>
      <c r="M1395" s="53"/>
      <c r="N1395" s="53"/>
      <c r="O1395" s="56"/>
      <c r="P1395" s="44"/>
    </row>
    <row r="1396" spans="1:16" ht="18.75" hidden="1">
      <c r="A1396" s="94"/>
      <c r="B1396" s="137"/>
      <c r="C1396" s="137"/>
      <c r="D1396" s="137"/>
      <c r="E1396" s="94"/>
      <c r="F1396" s="138"/>
      <c r="G1396" s="138"/>
      <c r="H1396" s="138"/>
      <c r="I1396" s="138"/>
      <c r="J1396" s="94"/>
      <c r="K1396" s="139"/>
      <c r="L1396" s="53"/>
      <c r="M1396" s="53"/>
      <c r="N1396" s="53"/>
      <c r="O1396" s="56"/>
      <c r="P1396" s="44"/>
    </row>
    <row r="1397" spans="1:16" ht="18.75" hidden="1">
      <c r="A1397" s="53"/>
      <c r="B1397" s="95" t="s">
        <v>476</v>
      </c>
      <c r="C1397" s="95"/>
      <c r="D1397" s="95"/>
      <c r="E1397" s="95"/>
      <c r="F1397" s="95"/>
      <c r="G1397" s="95"/>
      <c r="H1397" s="95"/>
      <c r="I1397" s="95"/>
      <c r="J1397" s="56"/>
      <c r="K1397" s="53"/>
      <c r="L1397" s="53"/>
      <c r="M1397" s="53"/>
      <c r="N1397" s="53"/>
      <c r="O1397" s="56"/>
      <c r="P1397" s="44"/>
    </row>
    <row r="1398" spans="1:16" ht="18.75" hidden="1">
      <c r="A1398" s="53"/>
      <c r="B1398" s="53"/>
      <c r="C1398" s="53"/>
      <c r="D1398" s="53"/>
      <c r="E1398" s="53"/>
      <c r="F1398" s="56"/>
      <c r="G1398" s="56"/>
      <c r="H1398" s="56"/>
      <c r="I1398" s="56"/>
      <c r="J1398" s="56"/>
      <c r="K1398" s="53"/>
      <c r="L1398" s="53"/>
      <c r="M1398" s="53"/>
      <c r="N1398" s="53"/>
      <c r="O1398" s="56"/>
      <c r="P1398" s="44"/>
    </row>
    <row r="1399" spans="1:16" ht="93.75" hidden="1">
      <c r="A1399" s="107" t="s">
        <v>155</v>
      </c>
      <c r="B1399" s="216" t="s">
        <v>156</v>
      </c>
      <c r="C1399" s="217"/>
      <c r="D1399" s="218"/>
      <c r="E1399" s="100" t="s">
        <v>168</v>
      </c>
      <c r="F1399" s="216" t="s">
        <v>287</v>
      </c>
      <c r="G1399" s="218"/>
      <c r="H1399" s="216" t="s">
        <v>250</v>
      </c>
      <c r="I1399" s="218"/>
      <c r="J1399" s="100" t="s">
        <v>177</v>
      </c>
      <c r="K1399" s="53"/>
      <c r="L1399" s="53"/>
      <c r="M1399" s="53"/>
      <c r="N1399" s="53"/>
      <c r="O1399" s="56"/>
      <c r="P1399" s="44"/>
    </row>
    <row r="1400" spans="1:16" ht="18.75" hidden="1">
      <c r="A1400" s="103">
        <v>1</v>
      </c>
      <c r="B1400" s="207">
        <v>2</v>
      </c>
      <c r="C1400" s="219"/>
      <c r="D1400" s="208"/>
      <c r="E1400" s="103">
        <v>3</v>
      </c>
      <c r="F1400" s="207">
        <v>4</v>
      </c>
      <c r="G1400" s="208"/>
      <c r="H1400" s="207">
        <v>5</v>
      </c>
      <c r="I1400" s="208"/>
      <c r="J1400" s="103">
        <v>6</v>
      </c>
      <c r="K1400" s="53"/>
      <c r="L1400" s="53"/>
      <c r="M1400" s="53"/>
      <c r="N1400" s="53"/>
      <c r="O1400" s="56"/>
      <c r="P1400" s="44"/>
    </row>
    <row r="1401" spans="1:16" ht="85.5" customHeight="1" hidden="1">
      <c r="A1401" s="107">
        <v>1</v>
      </c>
      <c r="B1401" s="204" t="s">
        <v>279</v>
      </c>
      <c r="C1401" s="205"/>
      <c r="D1401" s="206"/>
      <c r="E1401" s="107">
        <v>226</v>
      </c>
      <c r="F1401" s="207">
        <v>1</v>
      </c>
      <c r="G1401" s="208"/>
      <c r="H1401" s="230">
        <f>J1401/F1401</f>
        <v>832400</v>
      </c>
      <c r="I1401" s="231"/>
      <c r="J1401" s="109">
        <v>832400</v>
      </c>
      <c r="K1401" s="53"/>
      <c r="L1401" s="53"/>
      <c r="M1401" s="53"/>
      <c r="N1401" s="53"/>
      <c r="O1401" s="56"/>
      <c r="P1401" s="44"/>
    </row>
    <row r="1402" spans="1:16" ht="18.75" hidden="1">
      <c r="A1402" s="107"/>
      <c r="B1402" s="207" t="s">
        <v>130</v>
      </c>
      <c r="C1402" s="219"/>
      <c r="D1402" s="208"/>
      <c r="E1402" s="107"/>
      <c r="F1402" s="207" t="s">
        <v>172</v>
      </c>
      <c r="G1402" s="208"/>
      <c r="H1402" s="207" t="s">
        <v>172</v>
      </c>
      <c r="I1402" s="208"/>
      <c r="J1402" s="131">
        <f>SUM(J1401:J1401)</f>
        <v>832400</v>
      </c>
      <c r="K1402" s="53"/>
      <c r="L1402" s="53"/>
      <c r="M1402" s="53"/>
      <c r="N1402" s="53"/>
      <c r="O1402" s="56"/>
      <c r="P1402" s="44"/>
    </row>
    <row r="1403" spans="1:16" ht="18.75" hidden="1">
      <c r="A1403" s="94"/>
      <c r="B1403" s="137"/>
      <c r="C1403" s="137"/>
      <c r="D1403" s="137"/>
      <c r="E1403" s="94"/>
      <c r="F1403" s="138"/>
      <c r="G1403" s="138"/>
      <c r="H1403" s="138"/>
      <c r="I1403" s="138"/>
      <c r="J1403" s="94"/>
      <c r="K1403" s="139"/>
      <c r="L1403" s="53"/>
      <c r="M1403" s="53"/>
      <c r="N1403" s="53"/>
      <c r="O1403" s="56"/>
      <c r="P1403" s="44"/>
    </row>
    <row r="1404" spans="1:16" ht="18.75" hidden="1">
      <c r="A1404" s="53"/>
      <c r="B1404" s="95" t="s">
        <v>477</v>
      </c>
      <c r="C1404" s="95"/>
      <c r="D1404" s="95"/>
      <c r="E1404" s="95"/>
      <c r="F1404" s="95"/>
      <c r="G1404" s="95"/>
      <c r="H1404" s="95"/>
      <c r="I1404" s="95"/>
      <c r="J1404" s="56"/>
      <c r="K1404" s="139"/>
      <c r="L1404" s="53"/>
      <c r="M1404" s="53"/>
      <c r="N1404" s="53"/>
      <c r="O1404" s="56"/>
      <c r="P1404" s="44"/>
    </row>
    <row r="1405" spans="1:16" ht="18.75" hidden="1">
      <c r="A1405" s="53"/>
      <c r="B1405" s="53"/>
      <c r="C1405" s="53"/>
      <c r="D1405" s="53"/>
      <c r="E1405" s="53"/>
      <c r="F1405" s="56"/>
      <c r="G1405" s="56"/>
      <c r="H1405" s="56"/>
      <c r="I1405" s="56"/>
      <c r="J1405" s="56"/>
      <c r="K1405" s="139"/>
      <c r="L1405" s="53"/>
      <c r="M1405" s="53"/>
      <c r="N1405" s="53"/>
      <c r="O1405" s="56"/>
      <c r="P1405" s="44"/>
    </row>
    <row r="1406" spans="1:16" ht="93.75" hidden="1">
      <c r="A1406" s="107" t="s">
        <v>155</v>
      </c>
      <c r="B1406" s="216" t="s">
        <v>156</v>
      </c>
      <c r="C1406" s="217"/>
      <c r="D1406" s="218"/>
      <c r="E1406" s="100" t="s">
        <v>168</v>
      </c>
      <c r="F1406" s="216" t="s">
        <v>369</v>
      </c>
      <c r="G1406" s="218"/>
      <c r="H1406" s="100" t="s">
        <v>177</v>
      </c>
      <c r="I1406" s="53"/>
      <c r="J1406" s="53"/>
      <c r="K1406" s="139"/>
      <c r="L1406" s="53"/>
      <c r="M1406" s="53"/>
      <c r="N1406" s="53"/>
      <c r="O1406" s="56"/>
      <c r="P1406" s="44"/>
    </row>
    <row r="1407" spans="1:16" ht="18.75" hidden="1">
      <c r="A1407" s="103">
        <v>1</v>
      </c>
      <c r="B1407" s="207">
        <v>2</v>
      </c>
      <c r="C1407" s="219"/>
      <c r="D1407" s="208"/>
      <c r="E1407" s="103">
        <v>3</v>
      </c>
      <c r="F1407" s="207">
        <v>4</v>
      </c>
      <c r="G1407" s="208"/>
      <c r="H1407" s="103">
        <v>5</v>
      </c>
      <c r="I1407" s="53"/>
      <c r="J1407" s="53"/>
      <c r="K1407" s="139"/>
      <c r="L1407" s="53"/>
      <c r="M1407" s="53"/>
      <c r="N1407" s="53"/>
      <c r="O1407" s="56"/>
      <c r="P1407" s="44"/>
    </row>
    <row r="1408" spans="1:16" ht="73.5" customHeight="1" hidden="1">
      <c r="A1408" s="107">
        <v>1</v>
      </c>
      <c r="B1408" s="204" t="s">
        <v>324</v>
      </c>
      <c r="C1408" s="205"/>
      <c r="D1408" s="206"/>
      <c r="E1408" s="107">
        <v>226</v>
      </c>
      <c r="F1408" s="207">
        <v>1</v>
      </c>
      <c r="G1408" s="208"/>
      <c r="H1408" s="109">
        <v>254953.46</v>
      </c>
      <c r="I1408" s="53"/>
      <c r="J1408" s="53"/>
      <c r="K1408" s="139"/>
      <c r="L1408" s="53"/>
      <c r="M1408" s="53"/>
      <c r="N1408" s="53"/>
      <c r="O1408" s="56"/>
      <c r="P1408" s="44"/>
    </row>
    <row r="1409" spans="1:16" ht="18.75" hidden="1">
      <c r="A1409" s="107"/>
      <c r="B1409" s="207" t="s">
        <v>130</v>
      </c>
      <c r="C1409" s="219"/>
      <c r="D1409" s="208"/>
      <c r="E1409" s="107"/>
      <c r="F1409" s="207" t="s">
        <v>172</v>
      </c>
      <c r="G1409" s="208"/>
      <c r="H1409" s="131">
        <f>SUM(H1408:H1408)</f>
        <v>254953.46</v>
      </c>
      <c r="I1409" s="53"/>
      <c r="J1409" s="53"/>
      <c r="K1409" s="139"/>
      <c r="L1409" s="53"/>
      <c r="M1409" s="53"/>
      <c r="N1409" s="53"/>
      <c r="O1409" s="56"/>
      <c r="P1409" s="44"/>
    </row>
    <row r="1410" spans="1:16" ht="18.75" hidden="1">
      <c r="A1410" s="94"/>
      <c r="B1410" s="137"/>
      <c r="C1410" s="137"/>
      <c r="D1410" s="137"/>
      <c r="E1410" s="94"/>
      <c r="F1410" s="138"/>
      <c r="G1410" s="138"/>
      <c r="H1410" s="138"/>
      <c r="I1410" s="138"/>
      <c r="J1410" s="94"/>
      <c r="K1410" s="139"/>
      <c r="L1410" s="53"/>
      <c r="M1410" s="53"/>
      <c r="N1410" s="53"/>
      <c r="O1410" s="56"/>
      <c r="P1410" s="44"/>
    </row>
    <row r="1411" spans="1:16" ht="18.75" hidden="1">
      <c r="A1411" s="35"/>
      <c r="B1411" s="53" t="s">
        <v>478</v>
      </c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4"/>
      <c r="P1411" s="44"/>
    </row>
    <row r="1412" spans="1:16" ht="18.75" hidden="1">
      <c r="A1412" s="35"/>
      <c r="B1412" s="53" t="s">
        <v>179</v>
      </c>
      <c r="C1412" s="53"/>
      <c r="D1412" s="140">
        <v>244</v>
      </c>
      <c r="E1412" s="140"/>
      <c r="F1412" s="140"/>
      <c r="G1412" s="56"/>
      <c r="H1412" s="53"/>
      <c r="I1412" s="53"/>
      <c r="J1412" s="53"/>
      <c r="K1412" s="53"/>
      <c r="L1412" s="53"/>
      <c r="M1412" s="53"/>
      <c r="N1412" s="53"/>
      <c r="O1412" s="54"/>
      <c r="P1412" s="44"/>
    </row>
    <row r="1413" spans="1:16" ht="18.75" hidden="1">
      <c r="A1413" s="35"/>
      <c r="B1413" s="53" t="s">
        <v>153</v>
      </c>
      <c r="C1413" s="53"/>
      <c r="D1413" s="35"/>
      <c r="E1413" s="141" t="s">
        <v>222</v>
      </c>
      <c r="F1413" s="142"/>
      <c r="G1413" s="56"/>
      <c r="H1413" s="53"/>
      <c r="I1413" s="53"/>
      <c r="J1413" s="53"/>
      <c r="K1413" s="53"/>
      <c r="L1413" s="53"/>
      <c r="M1413" s="53"/>
      <c r="N1413" s="53"/>
      <c r="O1413" s="54"/>
      <c r="P1413" s="44"/>
    </row>
    <row r="1414" spans="1:16" ht="18.75" hidden="1">
      <c r="A1414" s="35"/>
      <c r="B1414" s="53"/>
      <c r="C1414" s="53"/>
      <c r="D1414" s="35"/>
      <c r="E1414" s="94"/>
      <c r="F1414" s="56"/>
      <c r="G1414" s="56"/>
      <c r="H1414" s="53"/>
      <c r="I1414" s="53"/>
      <c r="J1414" s="53"/>
      <c r="K1414" s="53"/>
      <c r="L1414" s="53"/>
      <c r="M1414" s="53"/>
      <c r="N1414" s="53"/>
      <c r="O1414" s="54"/>
      <c r="P1414" s="44"/>
    </row>
    <row r="1415" spans="1:16" ht="18.75" hidden="1">
      <c r="A1415" s="35"/>
      <c r="B1415" s="53"/>
      <c r="C1415" s="53"/>
      <c r="D1415" s="35"/>
      <c r="E1415" s="94"/>
      <c r="F1415" s="56"/>
      <c r="G1415" s="56"/>
      <c r="H1415" s="53"/>
      <c r="I1415" s="53"/>
      <c r="J1415" s="53"/>
      <c r="K1415" s="53"/>
      <c r="L1415" s="53"/>
      <c r="M1415" s="53"/>
      <c r="N1415" s="53"/>
      <c r="O1415" s="54"/>
      <c r="P1415" s="44"/>
    </row>
    <row r="1416" spans="1:16" ht="18.75" hidden="1">
      <c r="A1416" s="53"/>
      <c r="B1416" s="95" t="s">
        <v>479</v>
      </c>
      <c r="C1416" s="95"/>
      <c r="D1416" s="95"/>
      <c r="E1416" s="95"/>
      <c r="F1416" s="95"/>
      <c r="G1416" s="95"/>
      <c r="H1416" s="95"/>
      <c r="I1416" s="95"/>
      <c r="J1416" s="56"/>
      <c r="K1416" s="53"/>
      <c r="L1416" s="53"/>
      <c r="M1416" s="53"/>
      <c r="N1416" s="53"/>
      <c r="O1416" s="54"/>
      <c r="P1416" s="44"/>
    </row>
    <row r="1417" spans="1:16" ht="18.75" hidden="1">
      <c r="A1417" s="53"/>
      <c r="B1417" s="53"/>
      <c r="C1417" s="53"/>
      <c r="D1417" s="53"/>
      <c r="E1417" s="53"/>
      <c r="F1417" s="56"/>
      <c r="G1417" s="56"/>
      <c r="H1417" s="56"/>
      <c r="I1417" s="56"/>
      <c r="J1417" s="56"/>
      <c r="K1417" s="53"/>
      <c r="L1417" s="53"/>
      <c r="M1417" s="53"/>
      <c r="N1417" s="53"/>
      <c r="O1417" s="54"/>
      <c r="P1417" s="44"/>
    </row>
    <row r="1418" spans="1:16" ht="93.75" hidden="1">
      <c r="A1418" s="107" t="s">
        <v>155</v>
      </c>
      <c r="B1418" s="216" t="s">
        <v>156</v>
      </c>
      <c r="C1418" s="217"/>
      <c r="D1418" s="218"/>
      <c r="E1418" s="100" t="s">
        <v>168</v>
      </c>
      <c r="F1418" s="216" t="s">
        <v>369</v>
      </c>
      <c r="G1418" s="218"/>
      <c r="H1418" s="100" t="s">
        <v>177</v>
      </c>
      <c r="I1418" s="53"/>
      <c r="J1418" s="53"/>
      <c r="K1418" s="53"/>
      <c r="L1418" s="53"/>
      <c r="M1418" s="53"/>
      <c r="N1418" s="53"/>
      <c r="O1418" s="54"/>
      <c r="P1418" s="44"/>
    </row>
    <row r="1419" spans="1:16" ht="18.75" hidden="1">
      <c r="A1419" s="103">
        <v>1</v>
      </c>
      <c r="B1419" s="207">
        <v>2</v>
      </c>
      <c r="C1419" s="219"/>
      <c r="D1419" s="208"/>
      <c r="E1419" s="103">
        <v>3</v>
      </c>
      <c r="F1419" s="207">
        <v>4</v>
      </c>
      <c r="G1419" s="208"/>
      <c r="H1419" s="103">
        <v>5</v>
      </c>
      <c r="I1419" s="53"/>
      <c r="J1419" s="53"/>
      <c r="K1419" s="53"/>
      <c r="L1419" s="53"/>
      <c r="M1419" s="53"/>
      <c r="N1419" s="53"/>
      <c r="O1419" s="54"/>
      <c r="P1419" s="44"/>
    </row>
    <row r="1420" spans="1:16" ht="99.75" customHeight="1" hidden="1">
      <c r="A1420" s="107">
        <v>1</v>
      </c>
      <c r="B1420" s="204" t="s">
        <v>346</v>
      </c>
      <c r="C1420" s="205"/>
      <c r="D1420" s="206"/>
      <c r="E1420" s="107">
        <v>226</v>
      </c>
      <c r="F1420" s="207">
        <v>1</v>
      </c>
      <c r="G1420" s="208"/>
      <c r="H1420" s="109">
        <v>356200</v>
      </c>
      <c r="I1420" s="53"/>
      <c r="J1420" s="53"/>
      <c r="K1420" s="53"/>
      <c r="L1420" s="53"/>
      <c r="M1420" s="53"/>
      <c r="N1420" s="53"/>
      <c r="O1420" s="54"/>
      <c r="P1420" s="44"/>
    </row>
    <row r="1421" spans="1:16" ht="93.75" customHeight="1" hidden="1">
      <c r="A1421" s="107">
        <v>2</v>
      </c>
      <c r="B1421" s="204" t="s">
        <v>370</v>
      </c>
      <c r="C1421" s="205"/>
      <c r="D1421" s="206"/>
      <c r="E1421" s="107">
        <v>226</v>
      </c>
      <c r="F1421" s="207">
        <v>1</v>
      </c>
      <c r="G1421" s="208"/>
      <c r="H1421" s="109">
        <f>138600-100000</f>
        <v>38600</v>
      </c>
      <c r="I1421" s="53"/>
      <c r="J1421" s="53"/>
      <c r="K1421" s="53"/>
      <c r="L1421" s="53"/>
      <c r="M1421" s="53"/>
      <c r="N1421" s="53"/>
      <c r="O1421" s="54"/>
      <c r="P1421" s="44"/>
    </row>
    <row r="1422" spans="1:16" ht="18.75" hidden="1">
      <c r="A1422" s="107"/>
      <c r="B1422" s="207" t="s">
        <v>130</v>
      </c>
      <c r="C1422" s="219"/>
      <c r="D1422" s="208"/>
      <c r="E1422" s="107"/>
      <c r="F1422" s="207" t="s">
        <v>172</v>
      </c>
      <c r="G1422" s="208"/>
      <c r="H1422" s="131">
        <f>SUM(H1420:H1421)</f>
        <v>394800</v>
      </c>
      <c r="I1422" s="53"/>
      <c r="J1422" s="53"/>
      <c r="K1422" s="53"/>
      <c r="L1422" s="53"/>
      <c r="M1422" s="53"/>
      <c r="N1422" s="53"/>
      <c r="O1422" s="54"/>
      <c r="P1422" s="44"/>
    </row>
    <row r="1423" spans="1:16" ht="18.75" hidden="1">
      <c r="A1423" s="35"/>
      <c r="B1423" s="53"/>
      <c r="C1423" s="53"/>
      <c r="D1423" s="35"/>
      <c r="E1423" s="94"/>
      <c r="F1423" s="56"/>
      <c r="G1423" s="56"/>
      <c r="H1423" s="53"/>
      <c r="I1423" s="53"/>
      <c r="J1423" s="53"/>
      <c r="K1423" s="53"/>
      <c r="L1423" s="53"/>
      <c r="M1423" s="53"/>
      <c r="N1423" s="53"/>
      <c r="O1423" s="54"/>
      <c r="P1423" s="44"/>
    </row>
    <row r="1424" spans="1:16" ht="18.75" hidden="1">
      <c r="A1424" s="35"/>
      <c r="B1424" s="53"/>
      <c r="C1424" s="53"/>
      <c r="D1424" s="35"/>
      <c r="E1424" s="94"/>
      <c r="F1424" s="56"/>
      <c r="G1424" s="56"/>
      <c r="H1424" s="53"/>
      <c r="I1424" s="53"/>
      <c r="J1424" s="53"/>
      <c r="K1424" s="53"/>
      <c r="L1424" s="53"/>
      <c r="M1424" s="53"/>
      <c r="N1424" s="53"/>
      <c r="O1424" s="54"/>
      <c r="P1424" s="44"/>
    </row>
    <row r="1425" spans="1:16" ht="18.75" hidden="1">
      <c r="A1425" s="56"/>
      <c r="B1425" s="55"/>
      <c r="C1425" s="55"/>
      <c r="D1425" s="55"/>
      <c r="E1425" s="55"/>
      <c r="F1425" s="55"/>
      <c r="G1425" s="55"/>
      <c r="H1425" s="55"/>
      <c r="I1425" s="56"/>
      <c r="J1425" s="65"/>
      <c r="K1425" s="65"/>
      <c r="L1425" s="53"/>
      <c r="M1425" s="53"/>
      <c r="N1425" s="53"/>
      <c r="O1425" s="54"/>
      <c r="P1425" s="44"/>
    </row>
    <row r="1426" spans="1:16" ht="18.75" hidden="1">
      <c r="A1426" s="53"/>
      <c r="B1426" s="53" t="s">
        <v>480</v>
      </c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4"/>
      <c r="P1426" s="44"/>
    </row>
    <row r="1427" spans="1:16" ht="18.75" hidden="1">
      <c r="A1427" s="53"/>
      <c r="B1427" s="53" t="s">
        <v>152</v>
      </c>
      <c r="C1427" s="93"/>
      <c r="D1427" s="140">
        <v>100</v>
      </c>
      <c r="E1427" s="140"/>
      <c r="F1427" s="140"/>
      <c r="G1427" s="140"/>
      <c r="H1427" s="56"/>
      <c r="I1427" s="53"/>
      <c r="J1427" s="53"/>
      <c r="K1427" s="53"/>
      <c r="L1427" s="53"/>
      <c r="M1427" s="53"/>
      <c r="N1427" s="53"/>
      <c r="O1427" s="54"/>
      <c r="P1427" s="44"/>
    </row>
    <row r="1428" spans="1:16" ht="18.75" hidden="1">
      <c r="A1428" s="53"/>
      <c r="B1428" s="53" t="s">
        <v>153</v>
      </c>
      <c r="C1428" s="53"/>
      <c r="D1428" s="93"/>
      <c r="E1428" s="93"/>
      <c r="F1428" s="142" t="s">
        <v>154</v>
      </c>
      <c r="G1428" s="142"/>
      <c r="H1428" s="142"/>
      <c r="I1428" s="142"/>
      <c r="J1428" s="56"/>
      <c r="K1428" s="53"/>
      <c r="L1428" s="53"/>
      <c r="M1428" s="53"/>
      <c r="N1428" s="53"/>
      <c r="O1428" s="54"/>
      <c r="P1428" s="44"/>
    </row>
    <row r="1429" spans="1:16" ht="18.75" hidden="1">
      <c r="A1429" s="53"/>
      <c r="B1429" s="53"/>
      <c r="C1429" s="53"/>
      <c r="D1429" s="56"/>
      <c r="E1429" s="56"/>
      <c r="F1429" s="56"/>
      <c r="G1429" s="56"/>
      <c r="H1429" s="56"/>
      <c r="I1429" s="53"/>
      <c r="J1429" s="53"/>
      <c r="K1429" s="53"/>
      <c r="L1429" s="53"/>
      <c r="M1429" s="53"/>
      <c r="N1429" s="53"/>
      <c r="O1429" s="54"/>
      <c r="P1429" s="44"/>
    </row>
    <row r="1430" spans="1:16" ht="18.75" hidden="1">
      <c r="A1430" s="53"/>
      <c r="B1430" s="53" t="s">
        <v>481</v>
      </c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4"/>
      <c r="P1430" s="44"/>
    </row>
    <row r="1431" spans="1:16" ht="18.75" hidden="1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4"/>
      <c r="P1431" s="44"/>
    </row>
    <row r="1432" spans="1:16" ht="56.25" customHeight="1" hidden="1">
      <c r="A1432" s="49" t="s">
        <v>155</v>
      </c>
      <c r="B1432" s="260" t="s">
        <v>156</v>
      </c>
      <c r="C1432" s="260"/>
      <c r="D1432" s="260"/>
      <c r="E1432" s="260"/>
      <c r="F1432" s="259" t="s">
        <v>157</v>
      </c>
      <c r="G1432" s="259"/>
      <c r="H1432" s="61" t="s">
        <v>158</v>
      </c>
      <c r="I1432" s="61" t="s">
        <v>159</v>
      </c>
      <c r="J1432" s="227" t="s">
        <v>160</v>
      </c>
      <c r="K1432" s="228"/>
      <c r="L1432" s="53"/>
      <c r="M1432" s="53"/>
      <c r="N1432" s="53"/>
      <c r="O1432" s="54"/>
      <c r="P1432" s="44"/>
    </row>
    <row r="1433" spans="1:16" ht="18.75" hidden="1">
      <c r="A1433" s="187">
        <v>1</v>
      </c>
      <c r="B1433" s="232">
        <v>2</v>
      </c>
      <c r="C1433" s="237"/>
      <c r="D1433" s="237"/>
      <c r="E1433" s="233"/>
      <c r="F1433" s="227">
        <v>3</v>
      </c>
      <c r="G1433" s="228"/>
      <c r="H1433" s="191">
        <v>4</v>
      </c>
      <c r="I1433" s="119">
        <v>5</v>
      </c>
      <c r="J1433" s="227">
        <v>6</v>
      </c>
      <c r="K1433" s="228"/>
      <c r="L1433" s="193"/>
      <c r="M1433" s="193"/>
      <c r="N1433" s="193"/>
      <c r="O1433" s="62"/>
      <c r="P1433" s="45"/>
    </row>
    <row r="1434" spans="1:16" ht="18.75" hidden="1">
      <c r="A1434" s="49">
        <v>1</v>
      </c>
      <c r="B1434" s="265" t="s">
        <v>161</v>
      </c>
      <c r="C1434" s="265"/>
      <c r="D1434" s="265"/>
      <c r="E1434" s="265"/>
      <c r="F1434" s="203">
        <v>211</v>
      </c>
      <c r="G1434" s="203"/>
      <c r="H1434" s="52">
        <f>J1434/I1434</f>
        <v>2333156.0416666665</v>
      </c>
      <c r="I1434" s="147">
        <v>12</v>
      </c>
      <c r="J1434" s="215">
        <v>27997872.5</v>
      </c>
      <c r="K1434" s="215"/>
      <c r="L1434" s="53"/>
      <c r="M1434" s="53"/>
      <c r="N1434" s="53"/>
      <c r="O1434" s="54"/>
      <c r="P1434" s="44"/>
    </row>
    <row r="1435" spans="1:16" ht="18.75" hidden="1">
      <c r="A1435" s="49"/>
      <c r="B1435" s="201" t="s">
        <v>130</v>
      </c>
      <c r="C1435" s="226"/>
      <c r="D1435" s="226"/>
      <c r="E1435" s="202"/>
      <c r="F1435" s="203"/>
      <c r="G1435" s="203"/>
      <c r="H1435" s="121" t="s">
        <v>162</v>
      </c>
      <c r="I1435" s="122"/>
      <c r="J1435" s="215">
        <f>J1434</f>
        <v>27997872.5</v>
      </c>
      <c r="K1435" s="215"/>
      <c r="L1435" s="53"/>
      <c r="M1435" s="53"/>
      <c r="N1435" s="53"/>
      <c r="O1435" s="54"/>
      <c r="P1435" s="46"/>
    </row>
    <row r="1436" spans="1:16" ht="18.75" hidden="1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4"/>
      <c r="P1436" s="44"/>
    </row>
    <row r="1437" spans="1:16" ht="18.75" hidden="1">
      <c r="A1437" s="53"/>
      <c r="B1437" s="53" t="s">
        <v>260</v>
      </c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4"/>
      <c r="P1437" s="44"/>
    </row>
    <row r="1438" spans="1:16" ht="18.75" hidden="1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4"/>
      <c r="P1438" s="44"/>
    </row>
    <row r="1439" spans="1:16" ht="56.25" hidden="1">
      <c r="A1439" s="49" t="s">
        <v>155</v>
      </c>
      <c r="B1439" s="260" t="s">
        <v>156</v>
      </c>
      <c r="C1439" s="260"/>
      <c r="D1439" s="260"/>
      <c r="E1439" s="260"/>
      <c r="F1439" s="259" t="s">
        <v>157</v>
      </c>
      <c r="G1439" s="259"/>
      <c r="H1439" s="211" t="s">
        <v>163</v>
      </c>
      <c r="I1439" s="211"/>
      <c r="J1439" s="148" t="s">
        <v>164</v>
      </c>
      <c r="K1439" s="191" t="s">
        <v>165</v>
      </c>
      <c r="L1439" s="186" t="s">
        <v>166</v>
      </c>
      <c r="M1439" s="53"/>
      <c r="N1439" s="53"/>
      <c r="O1439" s="54"/>
      <c r="P1439" s="44"/>
    </row>
    <row r="1440" spans="1:16" ht="18.75" hidden="1">
      <c r="A1440" s="187">
        <v>1</v>
      </c>
      <c r="B1440" s="232">
        <v>2</v>
      </c>
      <c r="C1440" s="237"/>
      <c r="D1440" s="237"/>
      <c r="E1440" s="233"/>
      <c r="F1440" s="227">
        <v>3</v>
      </c>
      <c r="G1440" s="228"/>
      <c r="H1440" s="227">
        <v>4</v>
      </c>
      <c r="I1440" s="228"/>
      <c r="J1440" s="191">
        <v>5</v>
      </c>
      <c r="K1440" s="191">
        <v>6</v>
      </c>
      <c r="L1440" s="187">
        <v>7</v>
      </c>
      <c r="M1440" s="193"/>
      <c r="N1440" s="193"/>
      <c r="O1440" s="62"/>
      <c r="P1440" s="45"/>
    </row>
    <row r="1441" spans="1:16" ht="18.75" hidden="1">
      <c r="A1441" s="49">
        <v>1</v>
      </c>
      <c r="B1441" s="265"/>
      <c r="C1441" s="265"/>
      <c r="D1441" s="265"/>
      <c r="E1441" s="265"/>
      <c r="F1441" s="203">
        <v>212</v>
      </c>
      <c r="G1441" s="203"/>
      <c r="H1441" s="209">
        <f>K1441/J1441</f>
        <v>0</v>
      </c>
      <c r="I1441" s="210"/>
      <c r="J1441" s="149">
        <v>12</v>
      </c>
      <c r="K1441" s="194"/>
      <c r="L1441" s="194"/>
      <c r="M1441" s="53"/>
      <c r="N1441" s="53"/>
      <c r="O1441" s="54"/>
      <c r="P1441" s="44"/>
    </row>
    <row r="1442" spans="1:16" ht="18.75" hidden="1">
      <c r="A1442" s="49"/>
      <c r="B1442" s="265" t="s">
        <v>130</v>
      </c>
      <c r="C1442" s="265"/>
      <c r="D1442" s="265"/>
      <c r="E1442" s="265"/>
      <c r="F1442" s="203"/>
      <c r="G1442" s="203"/>
      <c r="H1442" s="265" t="s">
        <v>6</v>
      </c>
      <c r="I1442" s="265"/>
      <c r="J1442" s="122" t="s">
        <v>6</v>
      </c>
      <c r="K1442" s="194" t="s">
        <v>6</v>
      </c>
      <c r="L1442" s="194"/>
      <c r="M1442" s="53"/>
      <c r="N1442" s="53"/>
      <c r="O1442" s="54"/>
      <c r="P1442" s="46"/>
    </row>
    <row r="1443" spans="1:16" ht="18.75" hidden="1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4"/>
      <c r="P1443" s="44"/>
    </row>
    <row r="1444" spans="1:16" ht="18.75" hidden="1">
      <c r="A1444" s="53"/>
      <c r="B1444" s="53" t="s">
        <v>482</v>
      </c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4"/>
      <c r="P1444" s="44"/>
    </row>
    <row r="1445" spans="1:16" ht="18.75" hidden="1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4"/>
      <c r="P1445" s="44"/>
    </row>
    <row r="1446" spans="1:16" ht="93.75" hidden="1">
      <c r="A1446" s="49" t="s">
        <v>155</v>
      </c>
      <c r="B1446" s="201" t="s">
        <v>167</v>
      </c>
      <c r="C1446" s="226"/>
      <c r="D1446" s="226"/>
      <c r="E1446" s="202"/>
      <c r="F1446" s="227" t="s">
        <v>168</v>
      </c>
      <c r="G1446" s="228"/>
      <c r="H1446" s="61" t="s">
        <v>169</v>
      </c>
      <c r="I1446" s="227" t="s">
        <v>170</v>
      </c>
      <c r="J1446" s="228"/>
      <c r="K1446" s="53"/>
      <c r="L1446" s="53"/>
      <c r="M1446" s="53"/>
      <c r="N1446" s="53"/>
      <c r="O1446" s="54"/>
      <c r="P1446" s="44"/>
    </row>
    <row r="1447" spans="1:16" ht="18.75" hidden="1">
      <c r="A1447" s="187">
        <v>1</v>
      </c>
      <c r="B1447" s="201">
        <v>2</v>
      </c>
      <c r="C1447" s="226"/>
      <c r="D1447" s="226"/>
      <c r="E1447" s="202"/>
      <c r="F1447" s="201">
        <v>3</v>
      </c>
      <c r="G1447" s="202"/>
      <c r="H1447" s="187">
        <v>4</v>
      </c>
      <c r="I1447" s="201">
        <v>5</v>
      </c>
      <c r="J1447" s="202"/>
      <c r="K1447" s="53"/>
      <c r="L1447" s="53"/>
      <c r="M1447" s="53"/>
      <c r="N1447" s="53"/>
      <c r="O1447" s="54"/>
      <c r="P1447" s="44"/>
    </row>
    <row r="1448" spans="1:16" ht="18.75" customHeight="1" hidden="1">
      <c r="A1448" s="49">
        <v>1</v>
      </c>
      <c r="B1448" s="204" t="s">
        <v>171</v>
      </c>
      <c r="C1448" s="205"/>
      <c r="D1448" s="205"/>
      <c r="E1448" s="206"/>
      <c r="F1448" s="201">
        <v>213</v>
      </c>
      <c r="G1448" s="202"/>
      <c r="H1448" s="123">
        <v>30.2</v>
      </c>
      <c r="I1448" s="209">
        <v>8455357.5</v>
      </c>
      <c r="J1448" s="210"/>
      <c r="K1448" s="53"/>
      <c r="L1448" s="53"/>
      <c r="M1448" s="53"/>
      <c r="N1448" s="53"/>
      <c r="O1448" s="54"/>
      <c r="P1448" s="44"/>
    </row>
    <row r="1449" spans="1:16" ht="18.75" hidden="1">
      <c r="A1449" s="49"/>
      <c r="B1449" s="201" t="s">
        <v>130</v>
      </c>
      <c r="C1449" s="226"/>
      <c r="D1449" s="226"/>
      <c r="E1449" s="202"/>
      <c r="F1449" s="201"/>
      <c r="G1449" s="202"/>
      <c r="H1449" s="49" t="s">
        <v>172</v>
      </c>
      <c r="I1449" s="209">
        <f>SUM(I1448:I1448)</f>
        <v>8455357.5</v>
      </c>
      <c r="J1449" s="210"/>
      <c r="K1449" s="53"/>
      <c r="L1449" s="53"/>
      <c r="M1449" s="53"/>
      <c r="N1449" s="53"/>
      <c r="O1449" s="54"/>
      <c r="P1449" s="46"/>
    </row>
    <row r="1450" spans="1:16" ht="18.75" hidden="1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4"/>
      <c r="P1450" s="44"/>
    </row>
    <row r="1451" spans="1:16" ht="18.75" hidden="1">
      <c r="A1451" s="53"/>
      <c r="B1451" s="53" t="s">
        <v>483</v>
      </c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4"/>
      <c r="P1451" s="44"/>
    </row>
    <row r="1452" spans="1:16" ht="18.75" hidden="1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4"/>
      <c r="P1452" s="44"/>
    </row>
    <row r="1453" spans="1:16" ht="93.75" hidden="1">
      <c r="A1453" s="49" t="s">
        <v>155</v>
      </c>
      <c r="B1453" s="232" t="s">
        <v>0</v>
      </c>
      <c r="C1453" s="237"/>
      <c r="D1453" s="237"/>
      <c r="E1453" s="233"/>
      <c r="F1453" s="259" t="s">
        <v>168</v>
      </c>
      <c r="G1453" s="259"/>
      <c r="H1453" s="188" t="s">
        <v>301</v>
      </c>
      <c r="I1453" s="188" t="s">
        <v>302</v>
      </c>
      <c r="J1453" s="188" t="s">
        <v>177</v>
      </c>
      <c r="K1453" s="53"/>
      <c r="L1453" s="53"/>
      <c r="M1453" s="53"/>
      <c r="N1453" s="53"/>
      <c r="O1453" s="54"/>
      <c r="P1453" s="44"/>
    </row>
    <row r="1454" spans="1:16" ht="18.75" hidden="1">
      <c r="A1454" s="187">
        <v>1</v>
      </c>
      <c r="B1454" s="203">
        <v>2</v>
      </c>
      <c r="C1454" s="203"/>
      <c r="D1454" s="203"/>
      <c r="E1454" s="203"/>
      <c r="F1454" s="203">
        <v>3</v>
      </c>
      <c r="G1454" s="203"/>
      <c r="H1454" s="187">
        <v>4</v>
      </c>
      <c r="I1454" s="187">
        <v>5</v>
      </c>
      <c r="J1454" s="187">
        <v>6</v>
      </c>
      <c r="K1454" s="193"/>
      <c r="L1454" s="53"/>
      <c r="M1454" s="53"/>
      <c r="N1454" s="53"/>
      <c r="O1454" s="54"/>
      <c r="P1454" s="44"/>
    </row>
    <row r="1455" spans="1:16" ht="18.75" hidden="1">
      <c r="A1455" s="150">
        <v>1</v>
      </c>
      <c r="B1455" s="454" t="s">
        <v>303</v>
      </c>
      <c r="C1455" s="454"/>
      <c r="D1455" s="454"/>
      <c r="E1455" s="454"/>
      <c r="F1455" s="203">
        <v>212</v>
      </c>
      <c r="G1455" s="203"/>
      <c r="H1455" s="150">
        <v>100</v>
      </c>
      <c r="I1455" s="150">
        <f>J1455/H1455</f>
        <v>20</v>
      </c>
      <c r="J1455" s="79">
        <v>2000</v>
      </c>
      <c r="K1455" s="53"/>
      <c r="L1455" s="53"/>
      <c r="M1455" s="53"/>
      <c r="N1455" s="53"/>
      <c r="O1455" s="54"/>
      <c r="P1455" s="44"/>
    </row>
    <row r="1456" spans="1:16" ht="18.75" hidden="1">
      <c r="A1456" s="150"/>
      <c r="B1456" s="201" t="s">
        <v>130</v>
      </c>
      <c r="C1456" s="226"/>
      <c r="D1456" s="226"/>
      <c r="E1456" s="202"/>
      <c r="F1456" s="203"/>
      <c r="G1456" s="203"/>
      <c r="H1456" s="150" t="s">
        <v>172</v>
      </c>
      <c r="I1456" s="150" t="s">
        <v>172</v>
      </c>
      <c r="J1456" s="79">
        <f>SUM(J1455:J1455)</f>
        <v>2000</v>
      </c>
      <c r="K1456" s="53"/>
      <c r="L1456" s="53"/>
      <c r="M1456" s="53"/>
      <c r="N1456" s="53"/>
      <c r="O1456" s="54"/>
      <c r="P1456" s="44"/>
    </row>
    <row r="1457" spans="1:16" ht="18.75" hidden="1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4"/>
      <c r="P1457" s="44"/>
    </row>
    <row r="1458" spans="1:16" ht="18.75" hidden="1">
      <c r="A1458" s="53"/>
      <c r="B1458" s="53" t="s">
        <v>484</v>
      </c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4"/>
      <c r="P1458" s="44"/>
    </row>
    <row r="1459" spans="1:16" ht="18.75" hidden="1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4"/>
      <c r="P1459" s="44"/>
    </row>
    <row r="1460" spans="1:16" ht="75" hidden="1">
      <c r="A1460" s="49" t="s">
        <v>155</v>
      </c>
      <c r="B1460" s="232" t="s">
        <v>0</v>
      </c>
      <c r="C1460" s="237"/>
      <c r="D1460" s="237"/>
      <c r="E1460" s="233"/>
      <c r="F1460" s="259" t="s">
        <v>168</v>
      </c>
      <c r="G1460" s="259"/>
      <c r="H1460" s="188" t="s">
        <v>304</v>
      </c>
      <c r="I1460" s="188" t="s">
        <v>305</v>
      </c>
      <c r="J1460" s="188" t="s">
        <v>177</v>
      </c>
      <c r="K1460" s="53"/>
      <c r="L1460" s="53"/>
      <c r="M1460" s="53"/>
      <c r="N1460" s="53"/>
      <c r="O1460" s="54"/>
      <c r="P1460" s="44"/>
    </row>
    <row r="1461" spans="1:16" ht="18.75" hidden="1">
      <c r="A1461" s="187">
        <v>1</v>
      </c>
      <c r="B1461" s="203">
        <v>2</v>
      </c>
      <c r="C1461" s="203"/>
      <c r="D1461" s="203"/>
      <c r="E1461" s="203"/>
      <c r="F1461" s="203">
        <v>3</v>
      </c>
      <c r="G1461" s="203"/>
      <c r="H1461" s="187">
        <v>4</v>
      </c>
      <c r="I1461" s="187">
        <v>5</v>
      </c>
      <c r="J1461" s="187">
        <v>6</v>
      </c>
      <c r="K1461" s="193"/>
      <c r="L1461" s="53"/>
      <c r="M1461" s="53"/>
      <c r="N1461" s="53"/>
      <c r="O1461" s="54"/>
      <c r="P1461" s="44"/>
    </row>
    <row r="1462" spans="1:16" ht="39.75" customHeight="1" hidden="1">
      <c r="A1462" s="150">
        <v>1</v>
      </c>
      <c r="B1462" s="454" t="s">
        <v>306</v>
      </c>
      <c r="C1462" s="454"/>
      <c r="D1462" s="454"/>
      <c r="E1462" s="454"/>
      <c r="F1462" s="203">
        <v>226</v>
      </c>
      <c r="G1462" s="203"/>
      <c r="H1462" s="150">
        <v>3</v>
      </c>
      <c r="I1462" s="79">
        <f>J1462/H1462</f>
        <v>4000</v>
      </c>
      <c r="J1462" s="79">
        <v>12000</v>
      </c>
      <c r="K1462" s="53"/>
      <c r="L1462" s="53"/>
      <c r="M1462" s="53"/>
      <c r="N1462" s="53"/>
      <c r="O1462" s="54"/>
      <c r="P1462" s="44"/>
    </row>
    <row r="1463" spans="1:16" ht="18.75" hidden="1">
      <c r="A1463" s="150"/>
      <c r="B1463" s="201" t="s">
        <v>130</v>
      </c>
      <c r="C1463" s="226"/>
      <c r="D1463" s="226"/>
      <c r="E1463" s="202"/>
      <c r="F1463" s="203"/>
      <c r="G1463" s="203"/>
      <c r="H1463" s="150" t="s">
        <v>172</v>
      </c>
      <c r="I1463" s="150" t="s">
        <v>172</v>
      </c>
      <c r="J1463" s="79">
        <f>SUM(J1462:J1462)</f>
        <v>12000</v>
      </c>
      <c r="K1463" s="53"/>
      <c r="L1463" s="53"/>
      <c r="M1463" s="53"/>
      <c r="N1463" s="53"/>
      <c r="O1463" s="54"/>
      <c r="P1463" s="44"/>
    </row>
    <row r="1464" spans="1:16" ht="18.75" hidden="1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4"/>
      <c r="P1464" s="44"/>
    </row>
    <row r="1465" spans="1:16" ht="18.75" hidden="1">
      <c r="A1465" s="53"/>
      <c r="B1465" s="53" t="s">
        <v>485</v>
      </c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4"/>
      <c r="P1465" s="44"/>
    </row>
    <row r="1466" spans="1:16" ht="18.75" hidden="1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4"/>
      <c r="P1466" s="44"/>
    </row>
    <row r="1467" spans="1:16" ht="75" customHeight="1" hidden="1">
      <c r="A1467" s="49" t="s">
        <v>155</v>
      </c>
      <c r="B1467" s="232" t="s">
        <v>0</v>
      </c>
      <c r="C1467" s="237"/>
      <c r="D1467" s="237"/>
      <c r="E1467" s="233"/>
      <c r="F1467" s="259" t="s">
        <v>168</v>
      </c>
      <c r="G1467" s="259"/>
      <c r="H1467" s="188" t="s">
        <v>174</v>
      </c>
      <c r="I1467" s="188" t="s">
        <v>175</v>
      </c>
      <c r="J1467" s="188" t="s">
        <v>176</v>
      </c>
      <c r="K1467" s="188" t="s">
        <v>177</v>
      </c>
      <c r="L1467" s="53"/>
      <c r="M1467" s="53"/>
      <c r="N1467" s="53"/>
      <c r="O1467" s="54"/>
      <c r="P1467" s="44"/>
    </row>
    <row r="1468" spans="1:16" ht="18.75" hidden="1">
      <c r="A1468" s="187">
        <v>1</v>
      </c>
      <c r="B1468" s="203">
        <v>2</v>
      </c>
      <c r="C1468" s="203"/>
      <c r="D1468" s="203"/>
      <c r="E1468" s="203"/>
      <c r="F1468" s="203">
        <v>3</v>
      </c>
      <c r="G1468" s="203"/>
      <c r="H1468" s="187">
        <v>4</v>
      </c>
      <c r="I1468" s="187">
        <v>5</v>
      </c>
      <c r="J1468" s="187">
        <v>6</v>
      </c>
      <c r="K1468" s="187">
        <v>7</v>
      </c>
      <c r="L1468" s="193"/>
      <c r="M1468" s="193"/>
      <c r="N1468" s="193"/>
      <c r="O1468" s="62"/>
      <c r="P1468" s="45"/>
    </row>
    <row r="1469" spans="1:16" ht="65.25" customHeight="1" hidden="1">
      <c r="A1469" s="49">
        <v>1</v>
      </c>
      <c r="B1469" s="256" t="s">
        <v>178</v>
      </c>
      <c r="C1469" s="257"/>
      <c r="D1469" s="257"/>
      <c r="E1469" s="258"/>
      <c r="F1469" s="203">
        <v>266</v>
      </c>
      <c r="G1469" s="203"/>
      <c r="H1469" s="49">
        <v>1</v>
      </c>
      <c r="I1469" s="49">
        <v>10</v>
      </c>
      <c r="J1469" s="52">
        <v>50</v>
      </c>
      <c r="K1469" s="151">
        <f>H1469*I1469*J1469</f>
        <v>500</v>
      </c>
      <c r="L1469" s="53"/>
      <c r="M1469" s="53"/>
      <c r="N1469" s="53"/>
      <c r="O1469" s="54"/>
      <c r="P1469" s="44"/>
    </row>
    <row r="1470" spans="1:16" ht="18.75" hidden="1">
      <c r="A1470" s="49"/>
      <c r="B1470" s="201" t="s">
        <v>130</v>
      </c>
      <c r="C1470" s="226"/>
      <c r="D1470" s="226"/>
      <c r="E1470" s="202"/>
      <c r="F1470" s="203"/>
      <c r="G1470" s="203"/>
      <c r="H1470" s="49" t="s">
        <v>172</v>
      </c>
      <c r="I1470" s="49" t="s">
        <v>172</v>
      </c>
      <c r="J1470" s="49" t="s">
        <v>172</v>
      </c>
      <c r="K1470" s="151">
        <f>SUM(K1469:K1469)</f>
        <v>500</v>
      </c>
      <c r="L1470" s="53"/>
      <c r="M1470" s="53"/>
      <c r="N1470" s="53"/>
      <c r="O1470" s="54"/>
      <c r="P1470" s="46"/>
    </row>
    <row r="1471" spans="1:16" ht="18.75" hidden="1">
      <c r="A1471" s="56"/>
      <c r="B1471" s="145"/>
      <c r="C1471" s="145"/>
      <c r="D1471" s="145"/>
      <c r="E1471" s="145"/>
      <c r="F1471" s="55"/>
      <c r="G1471" s="55"/>
      <c r="H1471" s="56"/>
      <c r="I1471" s="56"/>
      <c r="J1471" s="56"/>
      <c r="K1471" s="152"/>
      <c r="L1471" s="53"/>
      <c r="M1471" s="53"/>
      <c r="N1471" s="53"/>
      <c r="O1471" s="54"/>
      <c r="P1471" s="46"/>
    </row>
    <row r="1472" spans="1:16" ht="18.75" hidden="1">
      <c r="A1472" s="53"/>
      <c r="B1472" s="53" t="s">
        <v>486</v>
      </c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4"/>
      <c r="P1472" s="44"/>
    </row>
    <row r="1473" spans="1:16" ht="18.75" hidden="1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4"/>
      <c r="P1473" s="44"/>
    </row>
    <row r="1474" spans="1:16" ht="18.75" hidden="1">
      <c r="A1474" s="34"/>
      <c r="B1474" s="53" t="s">
        <v>179</v>
      </c>
      <c r="C1474" s="34"/>
      <c r="D1474" s="140">
        <v>244</v>
      </c>
      <c r="E1474" s="140"/>
      <c r="F1474" s="56"/>
      <c r="G1474" s="53"/>
      <c r="H1474" s="53"/>
      <c r="I1474" s="53"/>
      <c r="J1474" s="53"/>
      <c r="K1474" s="53"/>
      <c r="L1474" s="53"/>
      <c r="M1474" s="53"/>
      <c r="N1474" s="53"/>
      <c r="O1474" s="54"/>
      <c r="P1474" s="44"/>
    </row>
    <row r="1475" spans="1:16" ht="18.75" hidden="1">
      <c r="A1475" s="34"/>
      <c r="B1475" s="53" t="s">
        <v>180</v>
      </c>
      <c r="C1475" s="93"/>
      <c r="D1475" s="93"/>
      <c r="E1475" s="140" t="s">
        <v>154</v>
      </c>
      <c r="F1475" s="140"/>
      <c r="G1475" s="140"/>
      <c r="H1475" s="140"/>
      <c r="I1475" s="140"/>
      <c r="J1475" s="140"/>
      <c r="K1475" s="53"/>
      <c r="L1475" s="53"/>
      <c r="M1475" s="53"/>
      <c r="N1475" s="53"/>
      <c r="O1475" s="54"/>
      <c r="P1475" s="44"/>
    </row>
    <row r="1476" spans="1:16" ht="18.75" hidden="1">
      <c r="A1476" s="53"/>
      <c r="B1476" s="53"/>
      <c r="C1476" s="56"/>
      <c r="D1476" s="56"/>
      <c r="E1476" s="56"/>
      <c r="F1476" s="56"/>
      <c r="G1476" s="53"/>
      <c r="H1476" s="53"/>
      <c r="I1476" s="53"/>
      <c r="J1476" s="53"/>
      <c r="K1476" s="53"/>
      <c r="L1476" s="53"/>
      <c r="M1476" s="53"/>
      <c r="N1476" s="53"/>
      <c r="O1476" s="54"/>
      <c r="P1476" s="44"/>
    </row>
    <row r="1477" spans="1:16" ht="18.75" hidden="1">
      <c r="A1477" s="34"/>
      <c r="B1477" s="153" t="s">
        <v>487</v>
      </c>
      <c r="C1477" s="153"/>
      <c r="D1477" s="153"/>
      <c r="E1477" s="153"/>
      <c r="F1477" s="153"/>
      <c r="G1477" s="153"/>
      <c r="H1477" s="153"/>
      <c r="I1477" s="153"/>
      <c r="J1477" s="153"/>
      <c r="K1477" s="193"/>
      <c r="L1477" s="193"/>
      <c r="M1477" s="53"/>
      <c r="N1477" s="53"/>
      <c r="O1477" s="54"/>
      <c r="P1477" s="44"/>
    </row>
    <row r="1478" spans="1:16" ht="18.75" hidden="1">
      <c r="A1478" s="34"/>
      <c r="B1478" s="153"/>
      <c r="C1478" s="153"/>
      <c r="D1478" s="153"/>
      <c r="E1478" s="153"/>
      <c r="F1478" s="153"/>
      <c r="G1478" s="153"/>
      <c r="H1478" s="153"/>
      <c r="I1478" s="153"/>
      <c r="J1478" s="153"/>
      <c r="K1478" s="193"/>
      <c r="L1478" s="193"/>
      <c r="M1478" s="53"/>
      <c r="N1478" s="53"/>
      <c r="O1478" s="54"/>
      <c r="P1478" s="44"/>
    </row>
    <row r="1479" spans="1:16" ht="75" customHeight="1" hidden="1">
      <c r="A1479" s="49" t="s">
        <v>155</v>
      </c>
      <c r="B1479" s="259" t="s">
        <v>156</v>
      </c>
      <c r="C1479" s="259"/>
      <c r="D1479" s="61" t="s">
        <v>168</v>
      </c>
      <c r="E1479" s="259" t="s">
        <v>195</v>
      </c>
      <c r="F1479" s="259"/>
      <c r="G1479" s="259" t="s">
        <v>196</v>
      </c>
      <c r="H1479" s="259"/>
      <c r="I1479" s="61" t="s">
        <v>197</v>
      </c>
      <c r="J1479" s="61" t="s">
        <v>177</v>
      </c>
      <c r="K1479" s="53"/>
      <c r="L1479" s="53"/>
      <c r="M1479" s="53"/>
      <c r="N1479" s="53"/>
      <c r="O1479" s="54"/>
      <c r="P1479" s="44"/>
    </row>
    <row r="1480" spans="1:16" ht="18.75" hidden="1">
      <c r="A1480" s="187">
        <v>1</v>
      </c>
      <c r="B1480" s="203">
        <v>2</v>
      </c>
      <c r="C1480" s="203"/>
      <c r="D1480" s="187">
        <v>3</v>
      </c>
      <c r="E1480" s="203">
        <v>4</v>
      </c>
      <c r="F1480" s="203"/>
      <c r="G1480" s="203">
        <v>5</v>
      </c>
      <c r="H1480" s="203"/>
      <c r="I1480" s="187">
        <v>6</v>
      </c>
      <c r="J1480" s="187">
        <v>7</v>
      </c>
      <c r="K1480" s="53"/>
      <c r="L1480" s="53"/>
      <c r="M1480" s="53"/>
      <c r="N1480" s="53"/>
      <c r="O1480" s="54"/>
      <c r="P1480" s="44"/>
    </row>
    <row r="1481" spans="1:16" ht="18.75" hidden="1">
      <c r="A1481" s="49">
        <v>1</v>
      </c>
      <c r="B1481" s="265" t="s">
        <v>198</v>
      </c>
      <c r="C1481" s="265"/>
      <c r="D1481" s="187">
        <v>221</v>
      </c>
      <c r="E1481" s="203">
        <v>2</v>
      </c>
      <c r="F1481" s="203"/>
      <c r="G1481" s="203">
        <v>12</v>
      </c>
      <c r="H1481" s="203"/>
      <c r="I1481" s="52">
        <f>J1481/G1481</f>
        <v>1550</v>
      </c>
      <c r="J1481" s="52">
        <f>15600+3000</f>
        <v>18600</v>
      </c>
      <c r="K1481" s="53"/>
      <c r="L1481" s="53"/>
      <c r="M1481" s="53"/>
      <c r="N1481" s="53"/>
      <c r="O1481" s="54"/>
      <c r="P1481" s="44"/>
    </row>
    <row r="1482" spans="1:16" ht="18.75" hidden="1">
      <c r="A1482" s="49">
        <v>2</v>
      </c>
      <c r="B1482" s="265" t="s">
        <v>199</v>
      </c>
      <c r="C1482" s="265"/>
      <c r="D1482" s="187">
        <v>221</v>
      </c>
      <c r="E1482" s="203">
        <v>1</v>
      </c>
      <c r="F1482" s="203"/>
      <c r="G1482" s="203">
        <v>12</v>
      </c>
      <c r="H1482" s="203"/>
      <c r="I1482" s="52">
        <f>ROUND(J1482/G1482,2)</f>
        <v>12316.27</v>
      </c>
      <c r="J1482" s="52">
        <v>147795.24</v>
      </c>
      <c r="K1482" s="53"/>
      <c r="L1482" s="53"/>
      <c r="M1482" s="53"/>
      <c r="N1482" s="53"/>
      <c r="O1482" s="54"/>
      <c r="P1482" s="44"/>
    </row>
    <row r="1483" spans="1:16" ht="18.75" hidden="1">
      <c r="A1483" s="49"/>
      <c r="B1483" s="203" t="s">
        <v>200</v>
      </c>
      <c r="C1483" s="203"/>
      <c r="D1483" s="187"/>
      <c r="E1483" s="203" t="s">
        <v>172</v>
      </c>
      <c r="F1483" s="203"/>
      <c r="G1483" s="203" t="s">
        <v>172</v>
      </c>
      <c r="H1483" s="203"/>
      <c r="I1483" s="49" t="s">
        <v>172</v>
      </c>
      <c r="J1483" s="52">
        <f>SUM(J1481:J1482)</f>
        <v>166395.24</v>
      </c>
      <c r="K1483" s="53"/>
      <c r="L1483" s="53"/>
      <c r="M1483" s="53"/>
      <c r="N1483" s="53"/>
      <c r="O1483" s="54"/>
      <c r="P1483" s="51"/>
    </row>
    <row r="1484" spans="1:16" ht="18.75" hidden="1">
      <c r="A1484" s="34"/>
      <c r="B1484" s="153"/>
      <c r="C1484" s="153"/>
      <c r="D1484" s="153"/>
      <c r="E1484" s="153"/>
      <c r="F1484" s="153"/>
      <c r="G1484" s="153"/>
      <c r="H1484" s="153"/>
      <c r="I1484" s="153"/>
      <c r="J1484" s="153"/>
      <c r="K1484" s="193"/>
      <c r="L1484" s="193"/>
      <c r="M1484" s="53"/>
      <c r="N1484" s="53"/>
      <c r="O1484" s="54"/>
      <c r="P1484" s="44"/>
    </row>
    <row r="1485" spans="1:16" ht="18.75" hidden="1">
      <c r="A1485" s="34"/>
      <c r="B1485" s="53" t="s">
        <v>488</v>
      </c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4"/>
      <c r="P1485" s="44"/>
    </row>
    <row r="1486" spans="1:16" ht="18.75" hidden="1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4"/>
      <c r="P1486" s="44"/>
    </row>
    <row r="1487" spans="1:16" ht="37.5" customHeight="1" hidden="1">
      <c r="A1487" s="49" t="s">
        <v>155</v>
      </c>
      <c r="B1487" s="259" t="s">
        <v>0</v>
      </c>
      <c r="C1487" s="259"/>
      <c r="D1487" s="259"/>
      <c r="E1487" s="259"/>
      <c r="F1487" s="259" t="s">
        <v>168</v>
      </c>
      <c r="G1487" s="259"/>
      <c r="H1487" s="61" t="s">
        <v>188</v>
      </c>
      <c r="I1487" s="61" t="s">
        <v>173</v>
      </c>
      <c r="J1487" s="53"/>
      <c r="K1487" s="53"/>
      <c r="L1487" s="53"/>
      <c r="M1487" s="53"/>
      <c r="N1487" s="53"/>
      <c r="O1487" s="54"/>
      <c r="P1487" s="44"/>
    </row>
    <row r="1488" spans="1:16" ht="18.75" hidden="1">
      <c r="A1488" s="187">
        <v>1</v>
      </c>
      <c r="B1488" s="203">
        <v>2</v>
      </c>
      <c r="C1488" s="203"/>
      <c r="D1488" s="203"/>
      <c r="E1488" s="203"/>
      <c r="F1488" s="203">
        <v>3</v>
      </c>
      <c r="G1488" s="203"/>
      <c r="H1488" s="187">
        <v>4</v>
      </c>
      <c r="I1488" s="187">
        <v>5</v>
      </c>
      <c r="J1488" s="193"/>
      <c r="K1488" s="193"/>
      <c r="L1488" s="193"/>
      <c r="M1488" s="193"/>
      <c r="N1488" s="193"/>
      <c r="O1488" s="62"/>
      <c r="P1488" s="45"/>
    </row>
    <row r="1489" spans="1:16" ht="18.75" customHeight="1" hidden="1">
      <c r="A1489" s="49">
        <v>1</v>
      </c>
      <c r="B1489" s="262" t="s">
        <v>235</v>
      </c>
      <c r="C1489" s="262"/>
      <c r="D1489" s="262"/>
      <c r="E1489" s="262"/>
      <c r="F1489" s="203">
        <v>226</v>
      </c>
      <c r="G1489" s="203"/>
      <c r="H1489" s="49">
        <v>1</v>
      </c>
      <c r="I1489" s="52">
        <v>23000</v>
      </c>
      <c r="J1489" s="53"/>
      <c r="K1489" s="53"/>
      <c r="L1489" s="53"/>
      <c r="M1489" s="53"/>
      <c r="N1489" s="53"/>
      <c r="O1489" s="54"/>
      <c r="P1489" s="44"/>
    </row>
    <row r="1490" spans="1:16" ht="18.75" customHeight="1" hidden="1">
      <c r="A1490" s="49">
        <v>2</v>
      </c>
      <c r="B1490" s="240" t="s">
        <v>276</v>
      </c>
      <c r="C1490" s="241"/>
      <c r="D1490" s="241"/>
      <c r="E1490" s="242"/>
      <c r="F1490" s="201">
        <v>226</v>
      </c>
      <c r="G1490" s="202"/>
      <c r="H1490" s="49">
        <v>2</v>
      </c>
      <c r="I1490" s="52">
        <v>200000</v>
      </c>
      <c r="J1490" s="53"/>
      <c r="K1490" s="53"/>
      <c r="L1490" s="53"/>
      <c r="M1490" s="53"/>
      <c r="N1490" s="53"/>
      <c r="O1490" s="54"/>
      <c r="P1490" s="44"/>
    </row>
    <row r="1491" spans="1:16" ht="18.75" customHeight="1" hidden="1">
      <c r="A1491" s="49">
        <v>3</v>
      </c>
      <c r="B1491" s="240" t="s">
        <v>371</v>
      </c>
      <c r="C1491" s="241"/>
      <c r="D1491" s="241"/>
      <c r="E1491" s="242"/>
      <c r="F1491" s="201">
        <v>226</v>
      </c>
      <c r="G1491" s="202"/>
      <c r="H1491" s="49">
        <v>1</v>
      </c>
      <c r="I1491" s="52">
        <v>10000</v>
      </c>
      <c r="J1491" s="53"/>
      <c r="K1491" s="53"/>
      <c r="L1491" s="53"/>
      <c r="M1491" s="53"/>
      <c r="N1491" s="53"/>
      <c r="O1491" s="54"/>
      <c r="P1491" s="44"/>
    </row>
    <row r="1492" spans="1:16" ht="18.75" hidden="1">
      <c r="A1492" s="49"/>
      <c r="B1492" s="201" t="s">
        <v>130</v>
      </c>
      <c r="C1492" s="226"/>
      <c r="D1492" s="226"/>
      <c r="E1492" s="202"/>
      <c r="F1492" s="203"/>
      <c r="G1492" s="203"/>
      <c r="H1492" s="49" t="s">
        <v>6</v>
      </c>
      <c r="I1492" s="52">
        <f>SUM(I1489:I1491)</f>
        <v>233000</v>
      </c>
      <c r="J1492" s="53"/>
      <c r="K1492" s="53"/>
      <c r="L1492" s="53"/>
      <c r="M1492" s="53"/>
      <c r="N1492" s="53"/>
      <c r="O1492" s="54"/>
      <c r="P1492" s="46"/>
    </row>
    <row r="1493" spans="1:16" ht="18.75" hidden="1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4"/>
      <c r="P1493" s="44"/>
    </row>
    <row r="1494" spans="1:16" ht="18.75" hidden="1">
      <c r="A1494" s="34"/>
      <c r="B1494" s="53" t="s">
        <v>489</v>
      </c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4"/>
      <c r="P1494" s="44"/>
    </row>
    <row r="1495" spans="1:16" ht="18.75" hidden="1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4"/>
      <c r="P1495" s="44"/>
    </row>
    <row r="1496" spans="1:16" ht="56.25" customHeight="1" hidden="1">
      <c r="A1496" s="49" t="s">
        <v>155</v>
      </c>
      <c r="B1496" s="259" t="s">
        <v>0</v>
      </c>
      <c r="C1496" s="259"/>
      <c r="D1496" s="259"/>
      <c r="E1496" s="259"/>
      <c r="F1496" s="259" t="s">
        <v>168</v>
      </c>
      <c r="G1496" s="259"/>
      <c r="H1496" s="61" t="s">
        <v>189</v>
      </c>
      <c r="I1496" s="61" t="s">
        <v>190</v>
      </c>
      <c r="J1496" s="61" t="s">
        <v>191</v>
      </c>
      <c r="K1496" s="53"/>
      <c r="L1496" s="53"/>
      <c r="M1496" s="53"/>
      <c r="N1496" s="53"/>
      <c r="O1496" s="54"/>
      <c r="P1496" s="44"/>
    </row>
    <row r="1497" spans="1:16" ht="18.75" hidden="1">
      <c r="A1497" s="187">
        <v>1</v>
      </c>
      <c r="B1497" s="203">
        <v>2</v>
      </c>
      <c r="C1497" s="203"/>
      <c r="D1497" s="203"/>
      <c r="E1497" s="203"/>
      <c r="F1497" s="203">
        <v>3</v>
      </c>
      <c r="G1497" s="203"/>
      <c r="H1497" s="187">
        <v>4</v>
      </c>
      <c r="I1497" s="187">
        <v>5</v>
      </c>
      <c r="J1497" s="187">
        <v>6</v>
      </c>
      <c r="K1497" s="193"/>
      <c r="L1497" s="193"/>
      <c r="M1497" s="193"/>
      <c r="N1497" s="193"/>
      <c r="O1497" s="62"/>
      <c r="P1497" s="45"/>
    </row>
    <row r="1498" spans="1:16" ht="18.75" hidden="1">
      <c r="A1498" s="49">
        <v>1</v>
      </c>
      <c r="B1498" s="211" t="s">
        <v>236</v>
      </c>
      <c r="C1498" s="211"/>
      <c r="D1498" s="211"/>
      <c r="E1498" s="211"/>
      <c r="F1498" s="203">
        <v>310</v>
      </c>
      <c r="G1498" s="203"/>
      <c r="H1498" s="48">
        <v>1500</v>
      </c>
      <c r="I1498" s="52">
        <f>J1498/H1498</f>
        <v>500</v>
      </c>
      <c r="J1498" s="52">
        <v>750000</v>
      </c>
      <c r="K1498" s="53"/>
      <c r="L1498" s="53"/>
      <c r="M1498" s="53"/>
      <c r="N1498" s="53"/>
      <c r="O1498" s="54"/>
      <c r="P1498" s="44"/>
    </row>
    <row r="1499" spans="1:16" ht="18.75" hidden="1">
      <c r="A1499" s="49"/>
      <c r="B1499" s="201" t="s">
        <v>130</v>
      </c>
      <c r="C1499" s="226"/>
      <c r="D1499" s="226"/>
      <c r="E1499" s="202"/>
      <c r="F1499" s="263"/>
      <c r="G1499" s="263"/>
      <c r="H1499" s="49"/>
      <c r="I1499" s="49" t="s">
        <v>6</v>
      </c>
      <c r="J1499" s="183">
        <f>SUM(J1498:J1498)</f>
        <v>750000</v>
      </c>
      <c r="K1499" s="53"/>
      <c r="L1499" s="53"/>
      <c r="M1499" s="53"/>
      <c r="N1499" s="53"/>
      <c r="O1499" s="54"/>
      <c r="P1499" s="47"/>
    </row>
    <row r="1500" spans="1:16" ht="18.75" hidden="1">
      <c r="A1500" s="56"/>
      <c r="B1500" s="56"/>
      <c r="C1500" s="56"/>
      <c r="D1500" s="56"/>
      <c r="E1500" s="56"/>
      <c r="F1500" s="56"/>
      <c r="G1500" s="152"/>
      <c r="H1500" s="53"/>
      <c r="I1500" s="53"/>
      <c r="J1500" s="53"/>
      <c r="K1500" s="53"/>
      <c r="L1500" s="53"/>
      <c r="M1500" s="53"/>
      <c r="N1500" s="53"/>
      <c r="O1500" s="54"/>
      <c r="P1500" s="46"/>
    </row>
    <row r="1501" spans="1:16" ht="18.75" hidden="1">
      <c r="A1501" s="34"/>
      <c r="B1501" s="53" t="s">
        <v>261</v>
      </c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4"/>
      <c r="P1501" s="44"/>
    </row>
    <row r="1502" spans="1:16" ht="18.75" hidden="1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4"/>
      <c r="P1502" s="44"/>
    </row>
    <row r="1503" spans="1:16" ht="56.25" hidden="1">
      <c r="A1503" s="49" t="s">
        <v>155</v>
      </c>
      <c r="B1503" s="259" t="s">
        <v>0</v>
      </c>
      <c r="C1503" s="259"/>
      <c r="D1503" s="259"/>
      <c r="E1503" s="259"/>
      <c r="F1503" s="259" t="s">
        <v>168</v>
      </c>
      <c r="G1503" s="259"/>
      <c r="H1503" s="61" t="s">
        <v>189</v>
      </c>
      <c r="I1503" s="61" t="s">
        <v>190</v>
      </c>
      <c r="J1503" s="61" t="s">
        <v>191</v>
      </c>
      <c r="K1503" s="53"/>
      <c r="L1503" s="53"/>
      <c r="M1503" s="53"/>
      <c r="N1503" s="53"/>
      <c r="O1503" s="54"/>
      <c r="P1503" s="44"/>
    </row>
    <row r="1504" spans="1:16" ht="18.75" hidden="1">
      <c r="A1504" s="187">
        <v>1</v>
      </c>
      <c r="B1504" s="203">
        <v>2</v>
      </c>
      <c r="C1504" s="203"/>
      <c r="D1504" s="203"/>
      <c r="E1504" s="203"/>
      <c r="F1504" s="203">
        <v>3</v>
      </c>
      <c r="G1504" s="203"/>
      <c r="H1504" s="187">
        <v>4</v>
      </c>
      <c r="I1504" s="187">
        <v>5</v>
      </c>
      <c r="J1504" s="187">
        <v>6</v>
      </c>
      <c r="K1504" s="193"/>
      <c r="L1504" s="193"/>
      <c r="M1504" s="193"/>
      <c r="N1504" s="193"/>
      <c r="O1504" s="62"/>
      <c r="P1504" s="45"/>
    </row>
    <row r="1505" spans="1:16" ht="18.75" hidden="1">
      <c r="A1505" s="49">
        <v>1</v>
      </c>
      <c r="B1505" s="211"/>
      <c r="C1505" s="211"/>
      <c r="D1505" s="211"/>
      <c r="E1505" s="211"/>
      <c r="F1505" s="203">
        <v>346</v>
      </c>
      <c r="G1505" s="203"/>
      <c r="H1505" s="49"/>
      <c r="I1505" s="52" t="e">
        <f>J1505/H1505</f>
        <v>#DIV/0!</v>
      </c>
      <c r="J1505" s="52"/>
      <c r="K1505" s="53"/>
      <c r="L1505" s="53"/>
      <c r="M1505" s="53"/>
      <c r="N1505" s="53"/>
      <c r="O1505" s="54"/>
      <c r="P1505" s="44"/>
    </row>
    <row r="1506" spans="1:16" ht="18.75" hidden="1">
      <c r="A1506" s="49">
        <v>2</v>
      </c>
      <c r="B1506" s="211"/>
      <c r="C1506" s="211"/>
      <c r="D1506" s="211"/>
      <c r="E1506" s="211"/>
      <c r="F1506" s="203">
        <v>346</v>
      </c>
      <c r="G1506" s="203"/>
      <c r="H1506" s="49"/>
      <c r="I1506" s="52" t="e">
        <f>J1506/H1506</f>
        <v>#DIV/0!</v>
      </c>
      <c r="J1506" s="52"/>
      <c r="K1506" s="53"/>
      <c r="L1506" s="53"/>
      <c r="M1506" s="53"/>
      <c r="N1506" s="53"/>
      <c r="O1506" s="54"/>
      <c r="P1506" s="44"/>
    </row>
    <row r="1507" spans="1:16" ht="18.75" hidden="1">
      <c r="A1507" s="49"/>
      <c r="B1507" s="265" t="s">
        <v>130</v>
      </c>
      <c r="C1507" s="265"/>
      <c r="D1507" s="265"/>
      <c r="E1507" s="265"/>
      <c r="F1507" s="263"/>
      <c r="G1507" s="263"/>
      <c r="H1507" s="49"/>
      <c r="I1507" s="49" t="s">
        <v>6</v>
      </c>
      <c r="J1507" s="52">
        <f>SUM(J1505:J1506)</f>
        <v>0</v>
      </c>
      <c r="K1507" s="53"/>
      <c r="L1507" s="53"/>
      <c r="M1507" s="53"/>
      <c r="N1507" s="53"/>
      <c r="O1507" s="54"/>
      <c r="P1507" s="46"/>
    </row>
    <row r="1508" spans="1:16" ht="18.75" hidden="1">
      <c r="A1508" s="56"/>
      <c r="B1508" s="145"/>
      <c r="C1508" s="145"/>
      <c r="D1508" s="145"/>
      <c r="E1508" s="145"/>
      <c r="F1508" s="62"/>
      <c r="G1508" s="62"/>
      <c r="H1508" s="56"/>
      <c r="I1508" s="56"/>
      <c r="J1508" s="63"/>
      <c r="K1508" s="53"/>
      <c r="L1508" s="53"/>
      <c r="M1508" s="53"/>
      <c r="N1508" s="53"/>
      <c r="O1508" s="54"/>
      <c r="P1508" s="46"/>
    </row>
    <row r="1509" spans="1:16" ht="18.75" hidden="1">
      <c r="A1509" s="53"/>
      <c r="B1509" s="53" t="s">
        <v>490</v>
      </c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4"/>
      <c r="P1509" s="46"/>
    </row>
    <row r="1510" spans="1:16" ht="18.75" hidden="1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4"/>
      <c r="P1510" s="46"/>
    </row>
    <row r="1511" spans="1:16" ht="56.25" hidden="1">
      <c r="A1511" s="49" t="s">
        <v>155</v>
      </c>
      <c r="B1511" s="259" t="s">
        <v>0</v>
      </c>
      <c r="C1511" s="259"/>
      <c r="D1511" s="259"/>
      <c r="E1511" s="259" t="s">
        <v>168</v>
      </c>
      <c r="F1511" s="259"/>
      <c r="G1511" s="259" t="s">
        <v>189</v>
      </c>
      <c r="H1511" s="259"/>
      <c r="I1511" s="61" t="s">
        <v>190</v>
      </c>
      <c r="J1511" s="61" t="s">
        <v>219</v>
      </c>
      <c r="K1511" s="53"/>
      <c r="L1511" s="53"/>
      <c r="M1511" s="53"/>
      <c r="N1511" s="53"/>
      <c r="O1511" s="54"/>
      <c r="P1511" s="46"/>
    </row>
    <row r="1512" spans="1:16" ht="18.75" hidden="1">
      <c r="A1512" s="187">
        <v>1</v>
      </c>
      <c r="B1512" s="203">
        <v>2</v>
      </c>
      <c r="C1512" s="203"/>
      <c r="D1512" s="203"/>
      <c r="E1512" s="203">
        <v>3</v>
      </c>
      <c r="F1512" s="203"/>
      <c r="G1512" s="203">
        <v>4</v>
      </c>
      <c r="H1512" s="203"/>
      <c r="I1512" s="187">
        <v>5</v>
      </c>
      <c r="J1512" s="187">
        <v>6</v>
      </c>
      <c r="K1512" s="193"/>
      <c r="L1512" s="53"/>
      <c r="M1512" s="53"/>
      <c r="N1512" s="53"/>
      <c r="O1512" s="54"/>
      <c r="P1512" s="46"/>
    </row>
    <row r="1513" spans="1:16" ht="18.75" hidden="1">
      <c r="A1513" s="49">
        <v>1</v>
      </c>
      <c r="B1513" s="198" t="s">
        <v>343</v>
      </c>
      <c r="C1513" s="199"/>
      <c r="D1513" s="200"/>
      <c r="E1513" s="201">
        <v>346</v>
      </c>
      <c r="F1513" s="202"/>
      <c r="G1513" s="201">
        <v>44</v>
      </c>
      <c r="H1513" s="202"/>
      <c r="I1513" s="52">
        <f>J1513/G1513</f>
        <v>113.63636363636364</v>
      </c>
      <c r="J1513" s="52">
        <v>5000</v>
      </c>
      <c r="K1513" s="53"/>
      <c r="L1513" s="53"/>
      <c r="M1513" s="53"/>
      <c r="N1513" s="53"/>
      <c r="O1513" s="54"/>
      <c r="P1513" s="46"/>
    </row>
    <row r="1514" spans="1:16" ht="18.75" hidden="1">
      <c r="A1514" s="49">
        <v>2</v>
      </c>
      <c r="B1514" s="198" t="s">
        <v>284</v>
      </c>
      <c r="C1514" s="199"/>
      <c r="D1514" s="200"/>
      <c r="E1514" s="201">
        <v>346</v>
      </c>
      <c r="F1514" s="202"/>
      <c r="G1514" s="201">
        <v>100</v>
      </c>
      <c r="H1514" s="202"/>
      <c r="I1514" s="52">
        <f>J1514/G1514</f>
        <v>148.7476</v>
      </c>
      <c r="J1514" s="52">
        <v>14874.76</v>
      </c>
      <c r="K1514" s="53"/>
      <c r="L1514" s="53"/>
      <c r="M1514" s="53"/>
      <c r="N1514" s="53"/>
      <c r="O1514" s="54"/>
      <c r="P1514" s="46"/>
    </row>
    <row r="1515" spans="1:16" ht="18.75" hidden="1">
      <c r="A1515" s="49"/>
      <c r="B1515" s="201" t="s">
        <v>130</v>
      </c>
      <c r="C1515" s="226"/>
      <c r="D1515" s="202"/>
      <c r="E1515" s="203"/>
      <c r="F1515" s="203"/>
      <c r="G1515" s="203"/>
      <c r="H1515" s="203"/>
      <c r="I1515" s="49" t="s">
        <v>6</v>
      </c>
      <c r="J1515" s="52">
        <f>SUM(J1513:J1514)</f>
        <v>19874.760000000002</v>
      </c>
      <c r="K1515" s="53"/>
      <c r="L1515" s="53"/>
      <c r="M1515" s="53"/>
      <c r="N1515" s="53"/>
      <c r="O1515" s="54"/>
      <c r="P1515" s="46"/>
    </row>
    <row r="1516" spans="1:16" ht="18.75" hidden="1">
      <c r="A1516" s="56"/>
      <c r="B1516" s="145"/>
      <c r="C1516" s="145"/>
      <c r="D1516" s="145"/>
      <c r="E1516" s="145"/>
      <c r="F1516" s="62"/>
      <c r="G1516" s="62"/>
      <c r="H1516" s="56"/>
      <c r="I1516" s="56"/>
      <c r="J1516" s="63"/>
      <c r="K1516" s="53"/>
      <c r="L1516" s="53"/>
      <c r="M1516" s="53"/>
      <c r="N1516" s="53"/>
      <c r="O1516" s="54"/>
      <c r="P1516" s="46"/>
    </row>
    <row r="1517" spans="1:16" ht="18.75" hidden="1">
      <c r="A1517" s="53"/>
      <c r="B1517" s="53" t="s">
        <v>491</v>
      </c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4"/>
      <c r="P1517" s="46"/>
    </row>
    <row r="1518" spans="1:16" ht="18.75" hidden="1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4"/>
      <c r="P1518" s="46"/>
    </row>
    <row r="1519" spans="1:16" ht="56.25" hidden="1">
      <c r="A1519" s="49" t="s">
        <v>155</v>
      </c>
      <c r="B1519" s="259" t="s">
        <v>0</v>
      </c>
      <c r="C1519" s="259"/>
      <c r="D1519" s="259"/>
      <c r="E1519" s="259" t="s">
        <v>168</v>
      </c>
      <c r="F1519" s="259"/>
      <c r="G1519" s="259" t="s">
        <v>189</v>
      </c>
      <c r="H1519" s="259"/>
      <c r="I1519" s="61" t="s">
        <v>190</v>
      </c>
      <c r="J1519" s="61" t="s">
        <v>219</v>
      </c>
      <c r="K1519" s="53"/>
      <c r="L1519" s="53"/>
      <c r="M1519" s="53"/>
      <c r="N1519" s="53"/>
      <c r="O1519" s="54"/>
      <c r="P1519" s="46"/>
    </row>
    <row r="1520" spans="1:16" ht="18.75" hidden="1">
      <c r="A1520" s="187">
        <v>1</v>
      </c>
      <c r="B1520" s="203">
        <v>2</v>
      </c>
      <c r="C1520" s="203"/>
      <c r="D1520" s="203"/>
      <c r="E1520" s="203">
        <v>3</v>
      </c>
      <c r="F1520" s="203"/>
      <c r="G1520" s="203">
        <v>4</v>
      </c>
      <c r="H1520" s="203"/>
      <c r="I1520" s="187">
        <v>5</v>
      </c>
      <c r="J1520" s="187">
        <v>6</v>
      </c>
      <c r="K1520" s="193"/>
      <c r="L1520" s="53"/>
      <c r="M1520" s="53"/>
      <c r="N1520" s="53"/>
      <c r="O1520" s="54"/>
      <c r="P1520" s="46"/>
    </row>
    <row r="1521" spans="1:16" ht="18.75" hidden="1">
      <c r="A1521" s="49">
        <v>1</v>
      </c>
      <c r="B1521" s="211" t="s">
        <v>335</v>
      </c>
      <c r="C1521" s="211"/>
      <c r="D1521" s="211"/>
      <c r="E1521" s="203">
        <v>349</v>
      </c>
      <c r="F1521" s="203"/>
      <c r="G1521" s="203">
        <v>370</v>
      </c>
      <c r="H1521" s="203"/>
      <c r="I1521" s="52">
        <f>J1521/G1521</f>
        <v>108.10810810810811</v>
      </c>
      <c r="J1521" s="52">
        <v>40000</v>
      </c>
      <c r="K1521" s="53"/>
      <c r="L1521" s="53"/>
      <c r="M1521" s="53"/>
      <c r="N1521" s="53"/>
      <c r="O1521" s="54"/>
      <c r="P1521" s="46"/>
    </row>
    <row r="1522" spans="1:16" ht="18.75" hidden="1">
      <c r="A1522" s="49"/>
      <c r="B1522" s="201" t="s">
        <v>130</v>
      </c>
      <c r="C1522" s="226"/>
      <c r="D1522" s="202"/>
      <c r="E1522" s="203"/>
      <c r="F1522" s="203"/>
      <c r="G1522" s="203"/>
      <c r="H1522" s="203"/>
      <c r="I1522" s="49" t="s">
        <v>6</v>
      </c>
      <c r="J1522" s="52">
        <f>SUM(J1521:J1521)</f>
        <v>40000</v>
      </c>
      <c r="K1522" s="53"/>
      <c r="L1522" s="53"/>
      <c r="M1522" s="53"/>
      <c r="N1522" s="53"/>
      <c r="O1522" s="54"/>
      <c r="P1522" s="46"/>
    </row>
    <row r="1523" spans="1:16" ht="18.75" hidden="1">
      <c r="A1523" s="56"/>
      <c r="B1523" s="145"/>
      <c r="C1523" s="145"/>
      <c r="D1523" s="145"/>
      <c r="E1523" s="145"/>
      <c r="F1523" s="62"/>
      <c r="G1523" s="62"/>
      <c r="H1523" s="56"/>
      <c r="I1523" s="56"/>
      <c r="J1523" s="63"/>
      <c r="K1523" s="53"/>
      <c r="L1523" s="53"/>
      <c r="M1523" s="53"/>
      <c r="N1523" s="53"/>
      <c r="O1523" s="54"/>
      <c r="P1523" s="46"/>
    </row>
    <row r="1524" spans="1:16" ht="18.75" hidden="1">
      <c r="A1524" s="53"/>
      <c r="B1524" s="53" t="s">
        <v>492</v>
      </c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4"/>
      <c r="P1524" s="44"/>
    </row>
    <row r="1525" spans="1:16" ht="18.75" hidden="1">
      <c r="A1525" s="53"/>
      <c r="B1525" s="53" t="s">
        <v>152</v>
      </c>
      <c r="C1525" s="93"/>
      <c r="D1525" s="140">
        <v>100</v>
      </c>
      <c r="E1525" s="140"/>
      <c r="F1525" s="140"/>
      <c r="G1525" s="140"/>
      <c r="H1525" s="56"/>
      <c r="I1525" s="53"/>
      <c r="J1525" s="53"/>
      <c r="K1525" s="53"/>
      <c r="L1525" s="53"/>
      <c r="M1525" s="53"/>
      <c r="N1525" s="53"/>
      <c r="O1525" s="54"/>
      <c r="P1525" s="44"/>
    </row>
    <row r="1526" spans="1:16" ht="18.75" hidden="1">
      <c r="A1526" s="53"/>
      <c r="B1526" s="53" t="s">
        <v>153</v>
      </c>
      <c r="C1526" s="53"/>
      <c r="D1526" s="93"/>
      <c r="E1526" s="93"/>
      <c r="F1526" s="142" t="s">
        <v>154</v>
      </c>
      <c r="G1526" s="142"/>
      <c r="H1526" s="142"/>
      <c r="I1526" s="142"/>
      <c r="J1526" s="56"/>
      <c r="K1526" s="53"/>
      <c r="L1526" s="53"/>
      <c r="M1526" s="53"/>
      <c r="N1526" s="53"/>
      <c r="O1526" s="54"/>
      <c r="P1526" s="44"/>
    </row>
    <row r="1527" spans="1:16" ht="18.75" hidden="1">
      <c r="A1527" s="53"/>
      <c r="B1527" s="53"/>
      <c r="C1527" s="53"/>
      <c r="D1527" s="56"/>
      <c r="E1527" s="56"/>
      <c r="F1527" s="56"/>
      <c r="G1527" s="56"/>
      <c r="H1527" s="56"/>
      <c r="I1527" s="53"/>
      <c r="J1527" s="53"/>
      <c r="K1527" s="53"/>
      <c r="L1527" s="53"/>
      <c r="M1527" s="53"/>
      <c r="N1527" s="53"/>
      <c r="O1527" s="54"/>
      <c r="P1527" s="44"/>
    </row>
    <row r="1528" spans="1:16" ht="18.75" hidden="1">
      <c r="A1528" s="53"/>
      <c r="B1528" s="53" t="s">
        <v>493</v>
      </c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4"/>
      <c r="P1528" s="44"/>
    </row>
    <row r="1529" spans="1:16" ht="18.75" hidden="1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4"/>
      <c r="P1529" s="44"/>
    </row>
    <row r="1530" spans="1:16" ht="56.25" customHeight="1" hidden="1">
      <c r="A1530" s="49" t="s">
        <v>155</v>
      </c>
      <c r="B1530" s="232" t="s">
        <v>156</v>
      </c>
      <c r="C1530" s="237"/>
      <c r="D1530" s="237"/>
      <c r="E1530" s="233"/>
      <c r="F1530" s="259" t="s">
        <v>157</v>
      </c>
      <c r="G1530" s="259"/>
      <c r="H1530" s="61" t="s">
        <v>158</v>
      </c>
      <c r="I1530" s="61" t="s">
        <v>159</v>
      </c>
      <c r="J1530" s="259" t="s">
        <v>160</v>
      </c>
      <c r="K1530" s="259"/>
      <c r="L1530" s="53"/>
      <c r="M1530" s="53"/>
      <c r="N1530" s="53"/>
      <c r="O1530" s="155"/>
      <c r="P1530" s="50"/>
    </row>
    <row r="1531" spans="1:16" ht="19.5" customHeight="1" hidden="1">
      <c r="A1531" s="187">
        <v>1</v>
      </c>
      <c r="B1531" s="227">
        <v>2</v>
      </c>
      <c r="C1531" s="229"/>
      <c r="D1531" s="229"/>
      <c r="E1531" s="228"/>
      <c r="F1531" s="227">
        <v>3</v>
      </c>
      <c r="G1531" s="228"/>
      <c r="H1531" s="191">
        <v>4</v>
      </c>
      <c r="I1531" s="119">
        <v>5</v>
      </c>
      <c r="J1531" s="227">
        <v>6</v>
      </c>
      <c r="K1531" s="228"/>
      <c r="L1531" s="53"/>
      <c r="M1531" s="53"/>
      <c r="N1531" s="53"/>
      <c r="O1531" s="155"/>
      <c r="P1531" s="50"/>
    </row>
    <row r="1532" spans="1:16" ht="18.75" hidden="1">
      <c r="A1532" s="49">
        <v>1</v>
      </c>
      <c r="B1532" s="265" t="s">
        <v>161</v>
      </c>
      <c r="C1532" s="265"/>
      <c r="D1532" s="265"/>
      <c r="E1532" s="265"/>
      <c r="F1532" s="203">
        <v>211</v>
      </c>
      <c r="G1532" s="203"/>
      <c r="H1532" s="52">
        <f>J1532/I1532</f>
        <v>43475</v>
      </c>
      <c r="I1532" s="147">
        <v>12</v>
      </c>
      <c r="J1532" s="215">
        <v>521700</v>
      </c>
      <c r="K1532" s="215"/>
      <c r="L1532" s="53"/>
      <c r="M1532" s="53"/>
      <c r="N1532" s="53"/>
      <c r="O1532" s="54"/>
      <c r="P1532" s="44"/>
    </row>
    <row r="1533" spans="1:16" ht="18.75" hidden="1">
      <c r="A1533" s="49"/>
      <c r="B1533" s="201" t="s">
        <v>130</v>
      </c>
      <c r="C1533" s="226"/>
      <c r="D1533" s="226"/>
      <c r="E1533" s="202"/>
      <c r="F1533" s="263"/>
      <c r="G1533" s="263"/>
      <c r="H1533" s="121" t="s">
        <v>162</v>
      </c>
      <c r="I1533" s="122"/>
      <c r="J1533" s="215">
        <f>J1532</f>
        <v>521700</v>
      </c>
      <c r="K1533" s="215"/>
      <c r="L1533" s="53"/>
      <c r="M1533" s="53"/>
      <c r="N1533" s="53"/>
      <c r="O1533" s="54"/>
      <c r="P1533" s="46"/>
    </row>
    <row r="1534" spans="1:16" ht="18.75" hidden="1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4"/>
      <c r="P1534" s="44"/>
    </row>
    <row r="1535" spans="1:16" ht="18.75" hidden="1">
      <c r="A1535" s="53"/>
      <c r="B1535" s="53" t="s">
        <v>494</v>
      </c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4"/>
      <c r="P1535" s="44"/>
    </row>
    <row r="1536" spans="1:16" ht="18.75" hidden="1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4"/>
      <c r="P1536" s="44"/>
    </row>
    <row r="1537" spans="1:16" ht="93.75" hidden="1">
      <c r="A1537" s="49" t="s">
        <v>155</v>
      </c>
      <c r="B1537" s="203" t="s">
        <v>167</v>
      </c>
      <c r="C1537" s="203"/>
      <c r="D1537" s="203"/>
      <c r="E1537" s="203"/>
      <c r="F1537" s="259" t="s">
        <v>168</v>
      </c>
      <c r="G1537" s="259"/>
      <c r="H1537" s="61" t="s">
        <v>169</v>
      </c>
      <c r="I1537" s="259" t="s">
        <v>170</v>
      </c>
      <c r="J1537" s="259"/>
      <c r="K1537" s="53"/>
      <c r="L1537" s="53"/>
      <c r="M1537" s="53"/>
      <c r="N1537" s="53"/>
      <c r="O1537" s="54"/>
      <c r="P1537" s="44"/>
    </row>
    <row r="1538" spans="1:16" ht="18.75" hidden="1">
      <c r="A1538" s="187">
        <v>1</v>
      </c>
      <c r="B1538" s="203">
        <v>2</v>
      </c>
      <c r="C1538" s="203"/>
      <c r="D1538" s="203"/>
      <c r="E1538" s="203"/>
      <c r="F1538" s="203">
        <v>3</v>
      </c>
      <c r="G1538" s="203"/>
      <c r="H1538" s="187">
        <v>4</v>
      </c>
      <c r="I1538" s="203">
        <v>5</v>
      </c>
      <c r="J1538" s="203"/>
      <c r="K1538" s="53"/>
      <c r="L1538" s="53"/>
      <c r="M1538" s="53"/>
      <c r="N1538" s="53"/>
      <c r="O1538" s="54"/>
      <c r="P1538" s="44"/>
    </row>
    <row r="1539" spans="1:16" ht="18.75" customHeight="1" hidden="1">
      <c r="A1539" s="49">
        <v>1</v>
      </c>
      <c r="B1539" s="204" t="s">
        <v>171</v>
      </c>
      <c r="C1539" s="205"/>
      <c r="D1539" s="205"/>
      <c r="E1539" s="206"/>
      <c r="F1539" s="203">
        <v>213</v>
      </c>
      <c r="G1539" s="203"/>
      <c r="H1539" s="123">
        <v>30.2</v>
      </c>
      <c r="I1539" s="215">
        <v>157553.4</v>
      </c>
      <c r="J1539" s="215"/>
      <c r="K1539" s="53"/>
      <c r="L1539" s="53"/>
      <c r="M1539" s="53"/>
      <c r="N1539" s="53"/>
      <c r="O1539" s="54"/>
      <c r="P1539" s="44"/>
    </row>
    <row r="1540" spans="1:16" ht="18.75" hidden="1">
      <c r="A1540" s="49"/>
      <c r="B1540" s="203" t="s">
        <v>130</v>
      </c>
      <c r="C1540" s="203"/>
      <c r="D1540" s="203"/>
      <c r="E1540" s="203"/>
      <c r="F1540" s="203"/>
      <c r="G1540" s="203"/>
      <c r="H1540" s="49" t="s">
        <v>172</v>
      </c>
      <c r="I1540" s="215">
        <f>SUM(I1539:I1539)</f>
        <v>157553.4</v>
      </c>
      <c r="J1540" s="215"/>
      <c r="K1540" s="53"/>
      <c r="L1540" s="53"/>
      <c r="M1540" s="53"/>
      <c r="N1540" s="53"/>
      <c r="O1540" s="54"/>
      <c r="P1540" s="46"/>
    </row>
    <row r="1541" spans="1:16" ht="18.75" hidden="1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4"/>
      <c r="P1541" s="44"/>
    </row>
    <row r="1542" spans="1:16" ht="18.75" hidden="1">
      <c r="A1542" s="53"/>
      <c r="B1542" s="53" t="s">
        <v>495</v>
      </c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4"/>
      <c r="P1542" s="44"/>
    </row>
    <row r="1543" spans="1:16" ht="18.75" hidden="1">
      <c r="A1543" s="35"/>
      <c r="B1543" s="53" t="s">
        <v>179</v>
      </c>
      <c r="C1543" s="53"/>
      <c r="D1543" s="140">
        <v>247</v>
      </c>
      <c r="E1543" s="140"/>
      <c r="F1543" s="140"/>
      <c r="G1543" s="56"/>
      <c r="H1543" s="53"/>
      <c r="I1543" s="53"/>
      <c r="J1543" s="53"/>
      <c r="K1543" s="53"/>
      <c r="L1543" s="53"/>
      <c r="M1543" s="53"/>
      <c r="N1543" s="53"/>
      <c r="O1543" s="54"/>
      <c r="P1543" s="44"/>
    </row>
    <row r="1544" spans="1:16" ht="18.75" hidden="1">
      <c r="A1544" s="35"/>
      <c r="B1544" s="53" t="s">
        <v>153</v>
      </c>
      <c r="C1544" s="53"/>
      <c r="D1544" s="93"/>
      <c r="E1544" s="93"/>
      <c r="F1544" s="142" t="s">
        <v>154</v>
      </c>
      <c r="G1544" s="56"/>
      <c r="H1544" s="53"/>
      <c r="I1544" s="53"/>
      <c r="J1544" s="53"/>
      <c r="K1544" s="53"/>
      <c r="L1544" s="53"/>
      <c r="M1544" s="53"/>
      <c r="N1544" s="53"/>
      <c r="O1544" s="54"/>
      <c r="P1544" s="44"/>
    </row>
    <row r="1545" spans="1:16" ht="18.75" hidden="1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4"/>
      <c r="P1545" s="44"/>
    </row>
    <row r="1546" spans="1:16" ht="18.75" hidden="1">
      <c r="A1546" s="53"/>
      <c r="B1546" s="53" t="s">
        <v>429</v>
      </c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4"/>
      <c r="P1546" s="44"/>
    </row>
    <row r="1547" spans="1:16" ht="18.75" hidden="1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4"/>
      <c r="P1547" s="44"/>
    </row>
    <row r="1548" spans="1:16" ht="56.25" customHeight="1" hidden="1">
      <c r="A1548" s="49" t="s">
        <v>155</v>
      </c>
      <c r="B1548" s="259" t="s">
        <v>0</v>
      </c>
      <c r="C1548" s="259"/>
      <c r="D1548" s="259"/>
      <c r="E1548" s="259" t="s">
        <v>168</v>
      </c>
      <c r="F1548" s="259"/>
      <c r="G1548" s="259" t="s">
        <v>201</v>
      </c>
      <c r="H1548" s="259"/>
      <c r="I1548" s="61" t="s">
        <v>202</v>
      </c>
      <c r="J1548" s="61" t="s">
        <v>203</v>
      </c>
      <c r="K1548" s="61" t="s">
        <v>177</v>
      </c>
      <c r="L1548" s="53"/>
      <c r="M1548" s="53"/>
      <c r="N1548" s="53"/>
      <c r="O1548" s="54"/>
      <c r="P1548" s="44"/>
    </row>
    <row r="1549" spans="1:16" ht="18.75" hidden="1">
      <c r="A1549" s="187">
        <v>1</v>
      </c>
      <c r="B1549" s="203">
        <v>2</v>
      </c>
      <c r="C1549" s="203"/>
      <c r="D1549" s="203"/>
      <c r="E1549" s="203">
        <v>3</v>
      </c>
      <c r="F1549" s="203"/>
      <c r="G1549" s="203">
        <v>4</v>
      </c>
      <c r="H1549" s="203"/>
      <c r="I1549" s="187">
        <v>5</v>
      </c>
      <c r="J1549" s="187">
        <v>6</v>
      </c>
      <c r="K1549" s="187">
        <v>7</v>
      </c>
      <c r="L1549" s="53"/>
      <c r="M1549" s="53"/>
      <c r="N1549" s="53"/>
      <c r="O1549" s="54"/>
      <c r="P1549" s="44"/>
    </row>
    <row r="1550" spans="1:16" ht="18.75" customHeight="1" hidden="1">
      <c r="A1550" s="49">
        <v>1</v>
      </c>
      <c r="B1550" s="274" t="s">
        <v>237</v>
      </c>
      <c r="C1550" s="274"/>
      <c r="D1550" s="274"/>
      <c r="E1550" s="203">
        <v>223</v>
      </c>
      <c r="F1550" s="203"/>
      <c r="G1550" s="275">
        <v>625.71</v>
      </c>
      <c r="H1550" s="275"/>
      <c r="I1550" s="52">
        <v>2966.5</v>
      </c>
      <c r="J1550" s="49"/>
      <c r="K1550" s="52">
        <f>ROUND(G1550*I1550,2)-242468.72-170000-12384-100000-19800-4304.2-28945.44+150000+157019.78-12734.14-82348.55-8660.71-226555.44</f>
        <v>1254987.3000000003</v>
      </c>
      <c r="L1550" s="53"/>
      <c r="M1550" s="53"/>
      <c r="N1550" s="53"/>
      <c r="O1550" s="54"/>
      <c r="P1550" s="44"/>
    </row>
    <row r="1551" spans="1:16" ht="18.75" customHeight="1" hidden="1">
      <c r="A1551" s="49">
        <v>2</v>
      </c>
      <c r="B1551" s="274" t="s">
        <v>204</v>
      </c>
      <c r="C1551" s="274"/>
      <c r="D1551" s="274"/>
      <c r="E1551" s="203">
        <v>223</v>
      </c>
      <c r="F1551" s="203"/>
      <c r="G1551" s="275">
        <v>148.902</v>
      </c>
      <c r="H1551" s="275"/>
      <c r="I1551" s="52">
        <v>9364.99</v>
      </c>
      <c r="J1551" s="49"/>
      <c r="K1551" s="52">
        <f>ROUND(G1551*I1551*1000,2)/1000-119665.74-202223.42-212500-1715.53-3016.23+82348.55</f>
        <v>937693.3709800001</v>
      </c>
      <c r="L1551" s="53"/>
      <c r="M1551" s="53"/>
      <c r="N1551" s="53"/>
      <c r="O1551" s="54"/>
      <c r="P1551" s="44"/>
    </row>
    <row r="1552" spans="1:16" ht="18.75" hidden="1">
      <c r="A1552" s="49"/>
      <c r="B1552" s="201" t="s">
        <v>130</v>
      </c>
      <c r="C1552" s="226"/>
      <c r="D1552" s="202"/>
      <c r="E1552" s="203"/>
      <c r="F1552" s="203"/>
      <c r="G1552" s="203" t="s">
        <v>172</v>
      </c>
      <c r="H1552" s="203"/>
      <c r="I1552" s="49" t="s">
        <v>172</v>
      </c>
      <c r="J1552" s="49" t="s">
        <v>172</v>
      </c>
      <c r="K1552" s="52">
        <f>SUM(K1550:K1551)</f>
        <v>2192680.6709800004</v>
      </c>
      <c r="L1552" s="53"/>
      <c r="M1552" s="53"/>
      <c r="N1552" s="53"/>
      <c r="O1552" s="54"/>
      <c r="P1552" s="47"/>
    </row>
    <row r="1553" spans="1:16" ht="18.75" hidden="1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4"/>
      <c r="P1553" s="44"/>
    </row>
    <row r="1554" spans="1:16" ht="18.75" hidden="1">
      <c r="A1554" s="53"/>
      <c r="B1554" s="53" t="s">
        <v>496</v>
      </c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4"/>
      <c r="P1554" s="44"/>
    </row>
    <row r="1555" spans="1:16" ht="18.75" hidden="1">
      <c r="A1555" s="35"/>
      <c r="B1555" s="53" t="s">
        <v>179</v>
      </c>
      <c r="C1555" s="53"/>
      <c r="D1555" s="140">
        <v>244</v>
      </c>
      <c r="E1555" s="140"/>
      <c r="F1555" s="140"/>
      <c r="G1555" s="56"/>
      <c r="H1555" s="53"/>
      <c r="I1555" s="53"/>
      <c r="J1555" s="53"/>
      <c r="K1555" s="53"/>
      <c r="L1555" s="53"/>
      <c r="M1555" s="53"/>
      <c r="N1555" s="53"/>
      <c r="O1555" s="54"/>
      <c r="P1555" s="44"/>
    </row>
    <row r="1556" spans="1:16" ht="18.75" hidden="1">
      <c r="A1556" s="35"/>
      <c r="B1556" s="53" t="s">
        <v>153</v>
      </c>
      <c r="C1556" s="53"/>
      <c r="D1556" s="93"/>
      <c r="E1556" s="93"/>
      <c r="F1556" s="142" t="s">
        <v>154</v>
      </c>
      <c r="G1556" s="56"/>
      <c r="H1556" s="53"/>
      <c r="I1556" s="53"/>
      <c r="J1556" s="53"/>
      <c r="K1556" s="53"/>
      <c r="L1556" s="53"/>
      <c r="M1556" s="53"/>
      <c r="N1556" s="53"/>
      <c r="O1556" s="54"/>
      <c r="P1556" s="44"/>
    </row>
    <row r="1557" spans="1:16" ht="18.75" hidden="1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4"/>
      <c r="P1557" s="44"/>
    </row>
    <row r="1558" spans="1:16" ht="18.75" hidden="1">
      <c r="A1558" s="53"/>
      <c r="B1558" s="53" t="s">
        <v>497</v>
      </c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4"/>
      <c r="P1558" s="44"/>
    </row>
    <row r="1559" spans="1:16" ht="18.75" hidden="1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4"/>
      <c r="P1559" s="44"/>
    </row>
    <row r="1560" spans="1:16" ht="56.25" hidden="1">
      <c r="A1560" s="49" t="s">
        <v>155</v>
      </c>
      <c r="B1560" s="259" t="s">
        <v>0</v>
      </c>
      <c r="C1560" s="259"/>
      <c r="D1560" s="259"/>
      <c r="E1560" s="259" t="s">
        <v>168</v>
      </c>
      <c r="F1560" s="259"/>
      <c r="G1560" s="259" t="s">
        <v>201</v>
      </c>
      <c r="H1560" s="259"/>
      <c r="I1560" s="61" t="s">
        <v>202</v>
      </c>
      <c r="J1560" s="61" t="s">
        <v>203</v>
      </c>
      <c r="K1560" s="61" t="s">
        <v>177</v>
      </c>
      <c r="L1560" s="53"/>
      <c r="M1560" s="53"/>
      <c r="N1560" s="53"/>
      <c r="O1560" s="54"/>
      <c r="P1560" s="44"/>
    </row>
    <row r="1561" spans="1:16" ht="18.75" hidden="1">
      <c r="A1561" s="187">
        <v>1</v>
      </c>
      <c r="B1561" s="203">
        <v>2</v>
      </c>
      <c r="C1561" s="203"/>
      <c r="D1561" s="203"/>
      <c r="E1561" s="203">
        <v>3</v>
      </c>
      <c r="F1561" s="203"/>
      <c r="G1561" s="203">
        <v>4</v>
      </c>
      <c r="H1561" s="203"/>
      <c r="I1561" s="187">
        <v>5</v>
      </c>
      <c r="J1561" s="187">
        <v>6</v>
      </c>
      <c r="K1561" s="187">
        <v>7</v>
      </c>
      <c r="L1561" s="53"/>
      <c r="M1561" s="53"/>
      <c r="N1561" s="53"/>
      <c r="O1561" s="54"/>
      <c r="P1561" s="44"/>
    </row>
    <row r="1562" spans="1:16" ht="18.75" customHeight="1" hidden="1">
      <c r="A1562" s="49">
        <v>1</v>
      </c>
      <c r="B1562" s="250" t="s">
        <v>238</v>
      </c>
      <c r="C1562" s="251"/>
      <c r="D1562" s="252"/>
      <c r="E1562" s="203">
        <v>223</v>
      </c>
      <c r="F1562" s="203"/>
      <c r="G1562" s="248">
        <v>22.774</v>
      </c>
      <c r="H1562" s="249"/>
      <c r="I1562" s="52">
        <v>2966.5</v>
      </c>
      <c r="J1562" s="49"/>
      <c r="K1562" s="52">
        <f>ROUND(G1562*I1562,2)-2128.51</f>
        <v>65430.560000000005</v>
      </c>
      <c r="L1562" s="53"/>
      <c r="M1562" s="53"/>
      <c r="N1562" s="53"/>
      <c r="O1562" s="54"/>
      <c r="P1562" s="44"/>
    </row>
    <row r="1563" spans="1:16" ht="18.75" customHeight="1" hidden="1">
      <c r="A1563" s="49">
        <v>2</v>
      </c>
      <c r="B1563" s="250" t="s">
        <v>238</v>
      </c>
      <c r="C1563" s="251"/>
      <c r="D1563" s="252"/>
      <c r="E1563" s="203">
        <v>223</v>
      </c>
      <c r="F1563" s="203"/>
      <c r="G1563" s="248">
        <v>386</v>
      </c>
      <c r="H1563" s="249"/>
      <c r="I1563" s="52">
        <v>39.04</v>
      </c>
      <c r="J1563" s="49"/>
      <c r="K1563" s="52">
        <f>ROUND(G1563*I1563,2)</f>
        <v>15069.44</v>
      </c>
      <c r="L1563" s="53"/>
      <c r="M1563" s="53"/>
      <c r="N1563" s="53"/>
      <c r="O1563" s="54"/>
      <c r="P1563" s="44"/>
    </row>
    <row r="1564" spans="1:16" ht="18.75" hidden="1">
      <c r="A1564" s="49">
        <v>3</v>
      </c>
      <c r="B1564" s="274" t="s">
        <v>205</v>
      </c>
      <c r="C1564" s="274"/>
      <c r="D1564" s="274"/>
      <c r="E1564" s="203">
        <v>223</v>
      </c>
      <c r="F1564" s="203"/>
      <c r="G1564" s="275">
        <v>4.8</v>
      </c>
      <c r="H1564" s="275"/>
      <c r="I1564" s="52">
        <v>39.4</v>
      </c>
      <c r="J1564" s="49"/>
      <c r="K1564" s="52">
        <f>ROUND(G1564*I1564*1000,2)-89476-16600+1715.53+3016.23+4304.2+28945.44+12734.14+8660.71</f>
        <v>142420.24999999997</v>
      </c>
      <c r="L1564" s="53"/>
      <c r="M1564" s="53"/>
      <c r="N1564" s="53"/>
      <c r="O1564" s="54"/>
      <c r="P1564" s="44"/>
    </row>
    <row r="1565" spans="1:16" ht="18.75" hidden="1">
      <c r="A1565" s="49">
        <v>4</v>
      </c>
      <c r="B1565" s="274" t="s">
        <v>206</v>
      </c>
      <c r="C1565" s="274"/>
      <c r="D1565" s="274"/>
      <c r="E1565" s="203">
        <v>223</v>
      </c>
      <c r="F1565" s="203"/>
      <c r="G1565" s="275">
        <v>5.8</v>
      </c>
      <c r="H1565" s="275"/>
      <c r="I1565" s="52">
        <v>43.32</v>
      </c>
      <c r="J1565" s="49"/>
      <c r="K1565" s="52">
        <f>ROUND(G1565*I1565*1000,2)-100000-25200</f>
        <v>126056</v>
      </c>
      <c r="L1565" s="53"/>
      <c r="M1565" s="53"/>
      <c r="N1565" s="53"/>
      <c r="O1565" s="54"/>
      <c r="P1565" s="44"/>
    </row>
    <row r="1566" spans="1:16" ht="18.75" hidden="1">
      <c r="A1566" s="49"/>
      <c r="B1566" s="201" t="s">
        <v>130</v>
      </c>
      <c r="C1566" s="226"/>
      <c r="D1566" s="202"/>
      <c r="E1566" s="203"/>
      <c r="F1566" s="203"/>
      <c r="G1566" s="203" t="s">
        <v>172</v>
      </c>
      <c r="H1566" s="203"/>
      <c r="I1566" s="49" t="s">
        <v>172</v>
      </c>
      <c r="J1566" s="49" t="s">
        <v>172</v>
      </c>
      <c r="K1566" s="52">
        <f>SUM(K1562:K1565)</f>
        <v>348976.25</v>
      </c>
      <c r="L1566" s="53"/>
      <c r="M1566" s="53"/>
      <c r="N1566" s="53"/>
      <c r="O1566" s="54"/>
      <c r="P1566" s="44"/>
    </row>
    <row r="1567" spans="1:16" ht="18.75" hidden="1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4"/>
      <c r="P1567" s="44"/>
    </row>
    <row r="1568" spans="1:16" ht="18.75" hidden="1">
      <c r="A1568" s="53"/>
      <c r="B1568" s="153" t="s">
        <v>498</v>
      </c>
      <c r="C1568" s="153"/>
      <c r="D1568" s="153"/>
      <c r="E1568" s="153"/>
      <c r="F1568" s="153"/>
      <c r="G1568" s="153"/>
      <c r="H1568" s="153"/>
      <c r="I1568" s="153"/>
      <c r="J1568" s="153"/>
      <c r="K1568" s="193"/>
      <c r="L1568" s="193"/>
      <c r="M1568" s="53"/>
      <c r="N1568" s="53"/>
      <c r="O1568" s="54"/>
      <c r="P1568" s="44"/>
    </row>
    <row r="1569" spans="1:16" ht="18.75" hidden="1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4"/>
      <c r="P1569" s="44"/>
    </row>
    <row r="1570" spans="1:16" ht="56.25" customHeight="1" hidden="1">
      <c r="A1570" s="49" t="s">
        <v>155</v>
      </c>
      <c r="B1570" s="259" t="s">
        <v>0</v>
      </c>
      <c r="C1570" s="259"/>
      <c r="D1570" s="259"/>
      <c r="E1570" s="259" t="s">
        <v>168</v>
      </c>
      <c r="F1570" s="259"/>
      <c r="G1570" s="259" t="s">
        <v>185</v>
      </c>
      <c r="H1570" s="259"/>
      <c r="I1570" s="61" t="s">
        <v>186</v>
      </c>
      <c r="J1570" s="61" t="s">
        <v>187</v>
      </c>
      <c r="K1570" s="53"/>
      <c r="L1570" s="53"/>
      <c r="M1570" s="53"/>
      <c r="N1570" s="53"/>
      <c r="O1570" s="54"/>
      <c r="P1570" s="44"/>
    </row>
    <row r="1571" spans="1:16" ht="18.75" hidden="1">
      <c r="A1571" s="187">
        <v>1</v>
      </c>
      <c r="B1571" s="203">
        <v>2</v>
      </c>
      <c r="C1571" s="203"/>
      <c r="D1571" s="203"/>
      <c r="E1571" s="203">
        <v>3</v>
      </c>
      <c r="F1571" s="203"/>
      <c r="G1571" s="203">
        <v>4</v>
      </c>
      <c r="H1571" s="203"/>
      <c r="I1571" s="187">
        <v>5</v>
      </c>
      <c r="J1571" s="187">
        <v>6</v>
      </c>
      <c r="K1571" s="53"/>
      <c r="L1571" s="53"/>
      <c r="M1571" s="53"/>
      <c r="N1571" s="53"/>
      <c r="O1571" s="54"/>
      <c r="P1571" s="44"/>
    </row>
    <row r="1572" spans="1:16" ht="18.75" hidden="1">
      <c r="A1572" s="49">
        <v>1</v>
      </c>
      <c r="B1572" s="211" t="s">
        <v>241</v>
      </c>
      <c r="C1572" s="211"/>
      <c r="D1572" s="211"/>
      <c r="E1572" s="203">
        <v>225</v>
      </c>
      <c r="F1572" s="203"/>
      <c r="G1572" s="203" t="s">
        <v>209</v>
      </c>
      <c r="H1572" s="203"/>
      <c r="I1572" s="49">
        <v>12</v>
      </c>
      <c r="J1572" s="52">
        <v>143655.57</v>
      </c>
      <c r="K1572" s="53"/>
      <c r="L1572" s="53"/>
      <c r="M1572" s="53"/>
      <c r="N1572" s="53"/>
      <c r="O1572" s="54"/>
      <c r="P1572" s="44"/>
    </row>
    <row r="1573" spans="1:16" ht="18.75" customHeight="1" hidden="1">
      <c r="A1573" s="49">
        <v>2</v>
      </c>
      <c r="B1573" s="211" t="s">
        <v>240</v>
      </c>
      <c r="C1573" s="211"/>
      <c r="D1573" s="211"/>
      <c r="E1573" s="203">
        <v>225</v>
      </c>
      <c r="F1573" s="203"/>
      <c r="G1573" s="203" t="s">
        <v>209</v>
      </c>
      <c r="H1573" s="203"/>
      <c r="I1573" s="49">
        <v>12</v>
      </c>
      <c r="J1573" s="52">
        <v>24000</v>
      </c>
      <c r="K1573" s="53"/>
      <c r="L1573" s="53"/>
      <c r="M1573" s="53"/>
      <c r="N1573" s="53"/>
      <c r="O1573" s="54"/>
      <c r="P1573" s="44"/>
    </row>
    <row r="1574" spans="1:16" ht="18.75" customHeight="1" hidden="1">
      <c r="A1574" s="49">
        <v>3</v>
      </c>
      <c r="B1574" s="211" t="s">
        <v>239</v>
      </c>
      <c r="C1574" s="211"/>
      <c r="D1574" s="211"/>
      <c r="E1574" s="203">
        <v>225</v>
      </c>
      <c r="F1574" s="203"/>
      <c r="G1574" s="203" t="s">
        <v>209</v>
      </c>
      <c r="H1574" s="203"/>
      <c r="I1574" s="49">
        <v>4</v>
      </c>
      <c r="J1574" s="52">
        <v>23327.88</v>
      </c>
      <c r="K1574" s="53"/>
      <c r="L1574" s="53"/>
      <c r="M1574" s="53"/>
      <c r="N1574" s="53"/>
      <c r="O1574" s="54"/>
      <c r="P1574" s="44"/>
    </row>
    <row r="1575" spans="1:16" ht="18.75" customHeight="1" hidden="1">
      <c r="A1575" s="49">
        <v>4</v>
      </c>
      <c r="B1575" s="211" t="s">
        <v>242</v>
      </c>
      <c r="C1575" s="211"/>
      <c r="D1575" s="211"/>
      <c r="E1575" s="203">
        <v>225</v>
      </c>
      <c r="F1575" s="203"/>
      <c r="G1575" s="203" t="s">
        <v>209</v>
      </c>
      <c r="H1575" s="203"/>
      <c r="I1575" s="49">
        <v>12</v>
      </c>
      <c r="J1575" s="52">
        <v>31000</v>
      </c>
      <c r="K1575" s="53"/>
      <c r="L1575" s="53"/>
      <c r="M1575" s="53"/>
      <c r="N1575" s="53"/>
      <c r="O1575" s="54"/>
      <c r="P1575" s="44"/>
    </row>
    <row r="1576" spans="1:16" ht="18.75" customHeight="1" hidden="1">
      <c r="A1576" s="49">
        <v>5</v>
      </c>
      <c r="B1576" s="198" t="s">
        <v>299</v>
      </c>
      <c r="C1576" s="199"/>
      <c r="D1576" s="200"/>
      <c r="E1576" s="203">
        <v>225</v>
      </c>
      <c r="F1576" s="203"/>
      <c r="G1576" s="203" t="s">
        <v>209</v>
      </c>
      <c r="H1576" s="203"/>
      <c r="I1576" s="49">
        <v>12</v>
      </c>
      <c r="J1576" s="52">
        <v>5337.6</v>
      </c>
      <c r="K1576" s="53"/>
      <c r="L1576" s="53"/>
      <c r="M1576" s="53"/>
      <c r="N1576" s="53"/>
      <c r="O1576" s="54"/>
      <c r="P1576" s="44"/>
    </row>
    <row r="1577" spans="1:16" ht="18.75" customHeight="1" hidden="1">
      <c r="A1577" s="49">
        <v>6</v>
      </c>
      <c r="B1577" s="198" t="s">
        <v>344</v>
      </c>
      <c r="C1577" s="199"/>
      <c r="D1577" s="200"/>
      <c r="E1577" s="201">
        <v>225</v>
      </c>
      <c r="F1577" s="202"/>
      <c r="G1577" s="201" t="s">
        <v>345</v>
      </c>
      <c r="H1577" s="202"/>
      <c r="I1577" s="49">
        <v>1</v>
      </c>
      <c r="J1577" s="52">
        <f>18000-5337.6</f>
        <v>12662.4</v>
      </c>
      <c r="K1577" s="53"/>
      <c r="L1577" s="53"/>
      <c r="M1577" s="53"/>
      <c r="N1577" s="53"/>
      <c r="O1577" s="54"/>
      <c r="P1577" s="44"/>
    </row>
    <row r="1578" spans="1:16" ht="18.75" customHeight="1" hidden="1">
      <c r="A1578" s="49">
        <v>7</v>
      </c>
      <c r="B1578" s="198" t="s">
        <v>375</v>
      </c>
      <c r="C1578" s="199"/>
      <c r="D1578" s="200"/>
      <c r="E1578" s="201">
        <v>225</v>
      </c>
      <c r="F1578" s="202"/>
      <c r="G1578" s="201" t="s">
        <v>209</v>
      </c>
      <c r="H1578" s="202"/>
      <c r="I1578" s="49">
        <v>12</v>
      </c>
      <c r="J1578" s="52">
        <v>36000</v>
      </c>
      <c r="K1578" s="53"/>
      <c r="L1578" s="53"/>
      <c r="M1578" s="53"/>
      <c r="N1578" s="53"/>
      <c r="O1578" s="54"/>
      <c r="P1578" s="44"/>
    </row>
    <row r="1579" spans="1:16" ht="18.75" hidden="1">
      <c r="A1579" s="49"/>
      <c r="B1579" s="201" t="s">
        <v>130</v>
      </c>
      <c r="C1579" s="226"/>
      <c r="D1579" s="202"/>
      <c r="E1579" s="201"/>
      <c r="F1579" s="202"/>
      <c r="G1579" s="203" t="s">
        <v>6</v>
      </c>
      <c r="H1579" s="203"/>
      <c r="I1579" s="49" t="s">
        <v>6</v>
      </c>
      <c r="J1579" s="52">
        <f>SUM(J1572:J1578)</f>
        <v>275983.45</v>
      </c>
      <c r="K1579" s="53"/>
      <c r="L1579" s="53"/>
      <c r="M1579" s="53"/>
      <c r="N1579" s="53"/>
      <c r="O1579" s="54"/>
      <c r="P1579" s="47"/>
    </row>
    <row r="1580" spans="1:16" ht="18.75" hidden="1">
      <c r="A1580" s="56"/>
      <c r="B1580" s="56"/>
      <c r="C1580" s="56"/>
      <c r="D1580" s="56"/>
      <c r="E1580" s="56"/>
      <c r="F1580" s="63"/>
      <c r="G1580" s="53"/>
      <c r="H1580" s="53"/>
      <c r="I1580" s="53"/>
      <c r="J1580" s="53"/>
      <c r="K1580" s="53"/>
      <c r="L1580" s="53"/>
      <c r="M1580" s="53"/>
      <c r="N1580" s="53"/>
      <c r="O1580" s="54"/>
      <c r="P1580" s="47"/>
    </row>
    <row r="1581" spans="1:16" ht="18.75" hidden="1">
      <c r="A1581" s="53"/>
      <c r="B1581" s="53" t="s">
        <v>499</v>
      </c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4"/>
      <c r="P1581" s="44"/>
    </row>
    <row r="1582" spans="1:16" ht="18.75" hidden="1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4"/>
      <c r="P1582" s="44"/>
    </row>
    <row r="1583" spans="1:16" ht="37.5" customHeight="1" hidden="1">
      <c r="A1583" s="49" t="s">
        <v>155</v>
      </c>
      <c r="B1583" s="259" t="s">
        <v>0</v>
      </c>
      <c r="C1583" s="259"/>
      <c r="D1583" s="259"/>
      <c r="E1583" s="259" t="s">
        <v>168</v>
      </c>
      <c r="F1583" s="259"/>
      <c r="G1583" s="259" t="s">
        <v>188</v>
      </c>
      <c r="H1583" s="259"/>
      <c r="I1583" s="61" t="s">
        <v>173</v>
      </c>
      <c r="J1583" s="53"/>
      <c r="K1583" s="53"/>
      <c r="L1583" s="53"/>
      <c r="M1583" s="53"/>
      <c r="N1583" s="53"/>
      <c r="O1583" s="54"/>
      <c r="P1583" s="44"/>
    </row>
    <row r="1584" spans="1:16" ht="18.75" hidden="1">
      <c r="A1584" s="187">
        <v>1</v>
      </c>
      <c r="B1584" s="203">
        <v>2</v>
      </c>
      <c r="C1584" s="203"/>
      <c r="D1584" s="203"/>
      <c r="E1584" s="203">
        <v>3</v>
      </c>
      <c r="F1584" s="203"/>
      <c r="G1584" s="203">
        <v>4</v>
      </c>
      <c r="H1584" s="203"/>
      <c r="I1584" s="187">
        <v>5</v>
      </c>
      <c r="J1584" s="53"/>
      <c r="K1584" s="53"/>
      <c r="L1584" s="53"/>
      <c r="M1584" s="53"/>
      <c r="N1584" s="53"/>
      <c r="O1584" s="54"/>
      <c r="P1584" s="44"/>
    </row>
    <row r="1585" spans="1:16" ht="18.75" customHeight="1" hidden="1">
      <c r="A1585" s="150">
        <v>1</v>
      </c>
      <c r="B1585" s="211" t="s">
        <v>282</v>
      </c>
      <c r="C1585" s="211"/>
      <c r="D1585" s="211"/>
      <c r="E1585" s="203">
        <v>226</v>
      </c>
      <c r="F1585" s="203"/>
      <c r="G1585" s="203">
        <v>1</v>
      </c>
      <c r="H1585" s="203"/>
      <c r="I1585" s="52">
        <v>16816.44</v>
      </c>
      <c r="J1585" s="53"/>
      <c r="K1585" s="53"/>
      <c r="L1585" s="53"/>
      <c r="M1585" s="53"/>
      <c r="N1585" s="53"/>
      <c r="O1585" s="54"/>
      <c r="P1585" s="44"/>
    </row>
    <row r="1586" spans="1:16" ht="18.75" customHeight="1" hidden="1">
      <c r="A1586" s="150">
        <v>2</v>
      </c>
      <c r="B1586" s="198" t="s">
        <v>385</v>
      </c>
      <c r="C1586" s="199"/>
      <c r="D1586" s="200"/>
      <c r="E1586" s="203">
        <v>226</v>
      </c>
      <c r="F1586" s="203"/>
      <c r="G1586" s="203">
        <v>1</v>
      </c>
      <c r="H1586" s="203"/>
      <c r="I1586" s="52">
        <v>744600</v>
      </c>
      <c r="J1586" s="53"/>
      <c r="K1586" s="53"/>
      <c r="L1586" s="53"/>
      <c r="M1586" s="53"/>
      <c r="N1586" s="53"/>
      <c r="O1586" s="54"/>
      <c r="P1586" s="44"/>
    </row>
    <row r="1587" spans="1:16" ht="18.75" customHeight="1" hidden="1">
      <c r="A1587" s="150">
        <v>3</v>
      </c>
      <c r="B1587" s="273" t="s">
        <v>243</v>
      </c>
      <c r="C1587" s="273"/>
      <c r="D1587" s="273"/>
      <c r="E1587" s="203">
        <v>226</v>
      </c>
      <c r="F1587" s="203"/>
      <c r="G1587" s="203">
        <v>1</v>
      </c>
      <c r="H1587" s="203"/>
      <c r="I1587" s="52">
        <v>1900</v>
      </c>
      <c r="J1587" s="53"/>
      <c r="K1587" s="53"/>
      <c r="L1587" s="53"/>
      <c r="M1587" s="53"/>
      <c r="N1587" s="53"/>
      <c r="O1587" s="54"/>
      <c r="P1587" s="44"/>
    </row>
    <row r="1588" spans="1:16" ht="18.75" customHeight="1" hidden="1">
      <c r="A1588" s="150">
        <v>4</v>
      </c>
      <c r="B1588" s="273" t="s">
        <v>244</v>
      </c>
      <c r="C1588" s="273"/>
      <c r="D1588" s="273"/>
      <c r="E1588" s="203">
        <v>226</v>
      </c>
      <c r="F1588" s="203"/>
      <c r="G1588" s="203">
        <v>1</v>
      </c>
      <c r="H1588" s="203"/>
      <c r="I1588" s="52">
        <v>9786</v>
      </c>
      <c r="J1588" s="53"/>
      <c r="K1588" s="53"/>
      <c r="L1588" s="53"/>
      <c r="M1588" s="53"/>
      <c r="N1588" s="53"/>
      <c r="O1588" s="54"/>
      <c r="P1588" s="44"/>
    </row>
    <row r="1589" spans="1:16" ht="18.75" customHeight="1" hidden="1">
      <c r="A1589" s="150">
        <v>5</v>
      </c>
      <c r="B1589" s="245" t="s">
        <v>327</v>
      </c>
      <c r="C1589" s="246"/>
      <c r="D1589" s="247"/>
      <c r="E1589" s="201">
        <v>226</v>
      </c>
      <c r="F1589" s="202"/>
      <c r="G1589" s="201">
        <v>1</v>
      </c>
      <c r="H1589" s="202"/>
      <c r="I1589" s="52">
        <v>3000</v>
      </c>
      <c r="J1589" s="53"/>
      <c r="K1589" s="53"/>
      <c r="L1589" s="53"/>
      <c r="M1589" s="53"/>
      <c r="N1589" s="53"/>
      <c r="O1589" s="54"/>
      <c r="P1589" s="44"/>
    </row>
    <row r="1590" spans="1:16" ht="18.75" hidden="1">
      <c r="A1590" s="49"/>
      <c r="B1590" s="201" t="s">
        <v>130</v>
      </c>
      <c r="C1590" s="226"/>
      <c r="D1590" s="202"/>
      <c r="E1590" s="203"/>
      <c r="F1590" s="203"/>
      <c r="G1590" s="201" t="s">
        <v>6</v>
      </c>
      <c r="H1590" s="202"/>
      <c r="I1590" s="52">
        <f>SUM(I1585:I1589)</f>
        <v>776102.44</v>
      </c>
      <c r="J1590" s="53"/>
      <c r="K1590" s="53"/>
      <c r="L1590" s="53"/>
      <c r="M1590" s="53"/>
      <c r="N1590" s="53"/>
      <c r="O1590" s="54"/>
      <c r="P1590" s="47"/>
    </row>
    <row r="1591" spans="1:16" ht="18.75" hidden="1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4"/>
      <c r="P1591" s="44"/>
    </row>
    <row r="1592" spans="1:16" ht="18.75" hidden="1">
      <c r="A1592" s="53"/>
      <c r="B1592" s="53" t="s">
        <v>500</v>
      </c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4"/>
      <c r="P1592" s="44"/>
    </row>
    <row r="1593" spans="1:16" ht="18.75" hidden="1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4"/>
      <c r="P1593" s="44"/>
    </row>
    <row r="1594" spans="1:16" ht="18.75" hidden="1">
      <c r="A1594" s="35"/>
      <c r="B1594" s="53" t="s">
        <v>179</v>
      </c>
      <c r="C1594" s="53"/>
      <c r="D1594" s="140">
        <v>850</v>
      </c>
      <c r="E1594" s="140"/>
      <c r="F1594" s="56"/>
      <c r="G1594" s="56"/>
      <c r="H1594" s="53"/>
      <c r="I1594" s="53"/>
      <c r="J1594" s="53"/>
      <c r="K1594" s="53"/>
      <c r="L1594" s="53"/>
      <c r="M1594" s="53"/>
      <c r="N1594" s="53"/>
      <c r="O1594" s="54"/>
      <c r="P1594" s="44"/>
    </row>
    <row r="1595" spans="1:16" ht="18.75" hidden="1">
      <c r="A1595" s="35"/>
      <c r="B1595" s="53" t="s">
        <v>153</v>
      </c>
      <c r="C1595" s="53"/>
      <c r="D1595" s="93"/>
      <c r="E1595" s="56"/>
      <c r="F1595" s="93"/>
      <c r="G1595" s="140" t="s">
        <v>154</v>
      </c>
      <c r="H1595" s="53"/>
      <c r="I1595" s="53"/>
      <c r="J1595" s="53"/>
      <c r="K1595" s="53"/>
      <c r="L1595" s="53"/>
      <c r="M1595" s="53"/>
      <c r="N1595" s="53"/>
      <c r="O1595" s="54"/>
      <c r="P1595" s="44"/>
    </row>
    <row r="1596" spans="1:16" ht="18.75" hidden="1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4"/>
      <c r="P1596" s="44"/>
    </row>
    <row r="1597" spans="1:16" ht="18.75" hidden="1">
      <c r="A1597" s="53"/>
      <c r="B1597" s="57" t="s">
        <v>501</v>
      </c>
      <c r="C1597" s="58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  <c r="N1597" s="53"/>
      <c r="O1597" s="54"/>
      <c r="P1597" s="44"/>
    </row>
    <row r="1598" spans="1:16" ht="18.75" hidden="1">
      <c r="A1598" s="35"/>
      <c r="B1598" s="53" t="s">
        <v>179</v>
      </c>
      <c r="C1598" s="53"/>
      <c r="D1598" s="140">
        <v>851</v>
      </c>
      <c r="E1598" s="140"/>
      <c r="F1598" s="56"/>
      <c r="G1598" s="56"/>
      <c r="H1598" s="53"/>
      <c r="I1598" s="53"/>
      <c r="J1598" s="53"/>
      <c r="K1598" s="58"/>
      <c r="L1598" s="58"/>
      <c r="M1598" s="58"/>
      <c r="N1598" s="53"/>
      <c r="O1598" s="54"/>
      <c r="P1598" s="44"/>
    </row>
    <row r="1599" spans="1:16" ht="18.75" hidden="1">
      <c r="A1599" s="58"/>
      <c r="B1599" s="58"/>
      <c r="C1599" s="58"/>
      <c r="D1599" s="58"/>
      <c r="E1599" s="58"/>
      <c r="F1599" s="58"/>
      <c r="G1599" s="58"/>
      <c r="H1599" s="58"/>
      <c r="I1599" s="58"/>
      <c r="J1599" s="58"/>
      <c r="K1599" s="58"/>
      <c r="L1599" s="58"/>
      <c r="M1599" s="58"/>
      <c r="N1599" s="53"/>
      <c r="O1599" s="54"/>
      <c r="P1599" s="44"/>
    </row>
    <row r="1600" spans="1:16" ht="112.5" customHeight="1" hidden="1">
      <c r="A1600" s="49" t="s">
        <v>155</v>
      </c>
      <c r="B1600" s="259" t="s">
        <v>0</v>
      </c>
      <c r="C1600" s="259"/>
      <c r="D1600" s="259"/>
      <c r="E1600" s="259" t="s">
        <v>168</v>
      </c>
      <c r="F1600" s="259"/>
      <c r="G1600" s="259" t="s">
        <v>212</v>
      </c>
      <c r="H1600" s="259"/>
      <c r="I1600" s="61" t="s">
        <v>213</v>
      </c>
      <c r="J1600" s="61" t="s">
        <v>214</v>
      </c>
      <c r="K1600" s="53"/>
      <c r="L1600" s="53"/>
      <c r="M1600" s="53"/>
      <c r="N1600" s="53"/>
      <c r="O1600" s="54"/>
      <c r="P1600" s="44"/>
    </row>
    <row r="1601" spans="1:16" ht="18.75" hidden="1">
      <c r="A1601" s="187">
        <v>1</v>
      </c>
      <c r="B1601" s="203">
        <v>2</v>
      </c>
      <c r="C1601" s="203"/>
      <c r="D1601" s="203"/>
      <c r="E1601" s="203">
        <v>3</v>
      </c>
      <c r="F1601" s="203"/>
      <c r="G1601" s="203">
        <v>4</v>
      </c>
      <c r="H1601" s="203"/>
      <c r="I1601" s="187">
        <v>5</v>
      </c>
      <c r="J1601" s="187">
        <v>6</v>
      </c>
      <c r="K1601" s="193"/>
      <c r="L1601" s="193"/>
      <c r="M1601" s="193"/>
      <c r="N1601" s="193"/>
      <c r="O1601" s="62"/>
      <c r="P1601" s="45"/>
    </row>
    <row r="1602" spans="1:16" ht="18.75" customHeight="1" hidden="1">
      <c r="A1602" s="49">
        <v>1</v>
      </c>
      <c r="B1602" s="198" t="s">
        <v>386</v>
      </c>
      <c r="C1602" s="199"/>
      <c r="D1602" s="200"/>
      <c r="E1602" s="201">
        <v>291</v>
      </c>
      <c r="F1602" s="202"/>
      <c r="G1602" s="243">
        <f>J1602/I1602</f>
        <v>20584060.666666664</v>
      </c>
      <c r="H1602" s="244"/>
      <c r="I1602" s="64">
        <v>0.015</v>
      </c>
      <c r="J1602" s="52">
        <v>308760.91</v>
      </c>
      <c r="K1602" s="53"/>
      <c r="L1602" s="53"/>
      <c r="M1602" s="53"/>
      <c r="N1602" s="53"/>
      <c r="O1602" s="54"/>
      <c r="P1602" s="44"/>
    </row>
    <row r="1603" spans="1:16" ht="18.75" customHeight="1" hidden="1">
      <c r="A1603" s="49">
        <v>2</v>
      </c>
      <c r="B1603" s="198" t="s">
        <v>215</v>
      </c>
      <c r="C1603" s="199"/>
      <c r="D1603" s="200"/>
      <c r="E1603" s="203">
        <v>291</v>
      </c>
      <c r="F1603" s="203"/>
      <c r="G1603" s="243">
        <f>J1603/I1603</f>
        <v>2267909.090909091</v>
      </c>
      <c r="H1603" s="244"/>
      <c r="I1603" s="64">
        <v>0.022</v>
      </c>
      <c r="J1603" s="52">
        <v>49894</v>
      </c>
      <c r="K1603" s="53"/>
      <c r="L1603" s="53"/>
      <c r="M1603" s="53"/>
      <c r="N1603" s="53"/>
      <c r="O1603" s="54"/>
      <c r="P1603" s="44"/>
    </row>
    <row r="1604" spans="1:16" ht="18.75" customHeight="1" hidden="1">
      <c r="A1604" s="59"/>
      <c r="B1604" s="59"/>
      <c r="C1604" s="59"/>
      <c r="D1604" s="59"/>
      <c r="E1604" s="59"/>
      <c r="F1604" s="59"/>
      <c r="G1604" s="59"/>
      <c r="H1604" s="59"/>
      <c r="I1604" s="59"/>
      <c r="J1604" s="59"/>
      <c r="K1604" s="58"/>
      <c r="L1604" s="58"/>
      <c r="M1604" s="58"/>
      <c r="N1604" s="53"/>
      <c r="O1604" s="54"/>
      <c r="P1604" s="44"/>
    </row>
    <row r="1605" spans="1:16" ht="18.75" customHeight="1" hidden="1">
      <c r="A1605" s="49" t="s">
        <v>155</v>
      </c>
      <c r="B1605" s="259" t="s">
        <v>0</v>
      </c>
      <c r="C1605" s="259"/>
      <c r="D1605" s="259"/>
      <c r="E1605" s="259" t="s">
        <v>168</v>
      </c>
      <c r="F1605" s="259"/>
      <c r="G1605" s="259" t="s">
        <v>212</v>
      </c>
      <c r="H1605" s="259"/>
      <c r="I1605" s="61" t="s">
        <v>213</v>
      </c>
      <c r="J1605" s="61" t="s">
        <v>214</v>
      </c>
      <c r="K1605" s="59"/>
      <c r="L1605" s="59"/>
      <c r="M1605" s="59"/>
      <c r="N1605" s="53"/>
      <c r="O1605" s="54"/>
      <c r="P1605" s="44"/>
    </row>
    <row r="1606" spans="1:16" ht="112.5" customHeight="1" hidden="1">
      <c r="A1606" s="49">
        <v>1</v>
      </c>
      <c r="B1606" s="211" t="s">
        <v>217</v>
      </c>
      <c r="C1606" s="211"/>
      <c r="D1606" s="211"/>
      <c r="E1606" s="203">
        <v>295</v>
      </c>
      <c r="F1606" s="203"/>
      <c r="G1606" s="261"/>
      <c r="H1606" s="261"/>
      <c r="I1606" s="49"/>
      <c r="J1606" s="52"/>
      <c r="K1606" s="53"/>
      <c r="L1606" s="53"/>
      <c r="M1606" s="53"/>
      <c r="N1606" s="53"/>
      <c r="O1606" s="54"/>
      <c r="P1606" s="44"/>
    </row>
    <row r="1607" spans="1:16" ht="18.75" customHeight="1" hidden="1">
      <c r="A1607" s="49">
        <v>2</v>
      </c>
      <c r="B1607" s="198" t="s">
        <v>215</v>
      </c>
      <c r="C1607" s="199"/>
      <c r="D1607" s="200"/>
      <c r="E1607" s="203">
        <v>291</v>
      </c>
      <c r="F1607" s="203"/>
      <c r="G1607" s="243">
        <f>J1607/I1607</f>
        <v>2267909.090909091</v>
      </c>
      <c r="H1607" s="244"/>
      <c r="I1607" s="64">
        <v>0.022</v>
      </c>
      <c r="J1607" s="52">
        <v>49894</v>
      </c>
      <c r="K1607" s="53"/>
      <c r="L1607" s="53"/>
      <c r="M1607" s="53"/>
      <c r="N1607" s="53"/>
      <c r="O1607" s="54"/>
      <c r="P1607" s="44"/>
    </row>
    <row r="1608" spans="1:16" ht="18" customHeight="1" hidden="1">
      <c r="A1608" s="49"/>
      <c r="B1608" s="201" t="s">
        <v>130</v>
      </c>
      <c r="C1608" s="226"/>
      <c r="D1608" s="202"/>
      <c r="E1608" s="203"/>
      <c r="F1608" s="203"/>
      <c r="G1608" s="203"/>
      <c r="H1608" s="203"/>
      <c r="I1608" s="49" t="s">
        <v>6</v>
      </c>
      <c r="J1608" s="52">
        <f>SUM(J1602:J1606)</f>
        <v>358654.91</v>
      </c>
      <c r="K1608" s="53"/>
      <c r="L1608" s="53"/>
      <c r="M1608" s="53"/>
      <c r="N1608" s="53"/>
      <c r="O1608" s="54"/>
      <c r="P1608" s="46"/>
    </row>
    <row r="1609" spans="1:16" ht="18" customHeight="1" hidden="1">
      <c r="A1609" s="56"/>
      <c r="B1609" s="55"/>
      <c r="C1609" s="55"/>
      <c r="D1609" s="55"/>
      <c r="E1609" s="55"/>
      <c r="F1609" s="55"/>
      <c r="G1609" s="55"/>
      <c r="H1609" s="55"/>
      <c r="I1609" s="56"/>
      <c r="J1609" s="63"/>
      <c r="K1609" s="53"/>
      <c r="L1609" s="53"/>
      <c r="M1609" s="53"/>
      <c r="N1609" s="53"/>
      <c r="O1609" s="54"/>
      <c r="P1609" s="46"/>
    </row>
    <row r="1610" spans="1:16" ht="18" customHeight="1" hidden="1">
      <c r="A1610" s="53"/>
      <c r="B1610" s="57" t="s">
        <v>502</v>
      </c>
      <c r="C1610" s="58"/>
      <c r="D1610" s="58"/>
      <c r="E1610" s="58"/>
      <c r="F1610" s="58"/>
      <c r="G1610" s="58"/>
      <c r="H1610" s="58"/>
      <c r="I1610" s="58"/>
      <c r="J1610" s="58"/>
      <c r="K1610" s="58"/>
      <c r="L1610" s="58"/>
      <c r="M1610" s="58"/>
      <c r="N1610" s="53"/>
      <c r="O1610" s="54"/>
      <c r="P1610" s="46"/>
    </row>
    <row r="1611" spans="1:16" ht="18" customHeight="1" hidden="1">
      <c r="A1611" s="35"/>
      <c r="B1611" s="53" t="s">
        <v>179</v>
      </c>
      <c r="C1611" s="53"/>
      <c r="D1611" s="140">
        <v>853</v>
      </c>
      <c r="E1611" s="140"/>
      <c r="F1611" s="56"/>
      <c r="G1611" s="56"/>
      <c r="H1611" s="53"/>
      <c r="I1611" s="53"/>
      <c r="J1611" s="53"/>
      <c r="K1611" s="58"/>
      <c r="L1611" s="58"/>
      <c r="M1611" s="58"/>
      <c r="N1611" s="53"/>
      <c r="O1611" s="54"/>
      <c r="P1611" s="46"/>
    </row>
    <row r="1612" spans="1:16" ht="18" customHeight="1" hidden="1">
      <c r="A1612" s="58"/>
      <c r="B1612" s="58"/>
      <c r="C1612" s="58"/>
      <c r="D1612" s="58"/>
      <c r="E1612" s="58"/>
      <c r="F1612" s="58"/>
      <c r="G1612" s="58"/>
      <c r="H1612" s="58"/>
      <c r="I1612" s="58"/>
      <c r="J1612" s="58"/>
      <c r="K1612" s="58"/>
      <c r="L1612" s="58"/>
      <c r="M1612" s="58"/>
      <c r="N1612" s="53"/>
      <c r="O1612" s="54"/>
      <c r="P1612" s="46"/>
    </row>
    <row r="1613" spans="1:16" ht="18" customHeight="1" hidden="1">
      <c r="A1613" s="49" t="s">
        <v>155</v>
      </c>
      <c r="B1613" s="259" t="s">
        <v>0</v>
      </c>
      <c r="C1613" s="259"/>
      <c r="D1613" s="259"/>
      <c r="E1613" s="259" t="s">
        <v>168</v>
      </c>
      <c r="F1613" s="259"/>
      <c r="G1613" s="259" t="s">
        <v>212</v>
      </c>
      <c r="H1613" s="259"/>
      <c r="I1613" s="61" t="s">
        <v>213</v>
      </c>
      <c r="J1613" s="61" t="s">
        <v>214</v>
      </c>
      <c r="K1613" s="53"/>
      <c r="L1613" s="53"/>
      <c r="M1613" s="53"/>
      <c r="N1613" s="53"/>
      <c r="O1613" s="54"/>
      <c r="P1613" s="46"/>
    </row>
    <row r="1614" spans="1:16" ht="18" customHeight="1" hidden="1">
      <c r="A1614" s="187">
        <v>1</v>
      </c>
      <c r="B1614" s="203">
        <v>2</v>
      </c>
      <c r="C1614" s="203"/>
      <c r="D1614" s="203"/>
      <c r="E1614" s="203">
        <v>3</v>
      </c>
      <c r="F1614" s="203"/>
      <c r="G1614" s="203">
        <v>4</v>
      </c>
      <c r="H1614" s="203"/>
      <c r="I1614" s="187">
        <v>5</v>
      </c>
      <c r="J1614" s="187">
        <v>6</v>
      </c>
      <c r="K1614" s="193"/>
      <c r="L1614" s="193"/>
      <c r="M1614" s="193"/>
      <c r="N1614" s="193"/>
      <c r="O1614" s="62"/>
      <c r="P1614" s="46"/>
    </row>
    <row r="1615" spans="1:16" ht="42" customHeight="1" hidden="1">
      <c r="A1615" s="49">
        <v>1</v>
      </c>
      <c r="B1615" s="198" t="s">
        <v>216</v>
      </c>
      <c r="C1615" s="199"/>
      <c r="D1615" s="200"/>
      <c r="E1615" s="203">
        <v>291</v>
      </c>
      <c r="F1615" s="203"/>
      <c r="G1615" s="243">
        <f>J1615/I1615</f>
        <v>2650</v>
      </c>
      <c r="H1615" s="244"/>
      <c r="I1615" s="187">
        <v>4</v>
      </c>
      <c r="J1615" s="52">
        <v>10600</v>
      </c>
      <c r="K1615" s="53"/>
      <c r="L1615" s="53"/>
      <c r="M1615" s="53"/>
      <c r="N1615" s="53"/>
      <c r="O1615" s="54"/>
      <c r="P1615" s="46"/>
    </row>
    <row r="1616" spans="1:16" ht="18" customHeight="1" hidden="1">
      <c r="A1616" s="49"/>
      <c r="B1616" s="203" t="s">
        <v>130</v>
      </c>
      <c r="C1616" s="203"/>
      <c r="D1616" s="203"/>
      <c r="E1616" s="203"/>
      <c r="F1616" s="203"/>
      <c r="G1616" s="203"/>
      <c r="H1616" s="203"/>
      <c r="I1616" s="49" t="s">
        <v>6</v>
      </c>
      <c r="J1616" s="52">
        <f>SUM(J1615:J1615)</f>
        <v>10600</v>
      </c>
      <c r="K1616" s="53"/>
      <c r="L1616" s="53"/>
      <c r="M1616" s="53"/>
      <c r="N1616" s="53"/>
      <c r="O1616" s="54"/>
      <c r="P1616" s="46"/>
    </row>
    <row r="1617" spans="1:16" ht="18.75" hidden="1">
      <c r="A1617" s="56"/>
      <c r="B1617" s="145"/>
      <c r="C1617" s="145"/>
      <c r="D1617" s="145"/>
      <c r="E1617" s="55"/>
      <c r="F1617" s="55"/>
      <c r="G1617" s="55"/>
      <c r="H1617" s="55"/>
      <c r="I1617" s="56"/>
      <c r="J1617" s="63"/>
      <c r="K1617" s="53"/>
      <c r="L1617" s="53"/>
      <c r="M1617" s="53"/>
      <c r="N1617" s="53"/>
      <c r="O1617" s="54"/>
      <c r="P1617" s="46"/>
    </row>
    <row r="1618" spans="1:16" ht="18.75" hidden="1">
      <c r="A1618" s="53"/>
      <c r="B1618" s="53" t="s">
        <v>503</v>
      </c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4"/>
      <c r="P1618" s="46"/>
    </row>
    <row r="1619" spans="1:16" ht="18.75" hidden="1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4"/>
      <c r="P1619" s="46"/>
    </row>
    <row r="1620" spans="1:16" ht="18.75" hidden="1">
      <c r="A1620" s="34"/>
      <c r="B1620" s="53" t="s">
        <v>179</v>
      </c>
      <c r="C1620" s="34"/>
      <c r="D1620" s="140">
        <v>244</v>
      </c>
      <c r="E1620" s="140"/>
      <c r="F1620" s="56"/>
      <c r="G1620" s="53"/>
      <c r="H1620" s="53"/>
      <c r="I1620" s="53"/>
      <c r="J1620" s="53"/>
      <c r="K1620" s="53"/>
      <c r="L1620" s="53"/>
      <c r="M1620" s="53"/>
      <c r="N1620" s="53"/>
      <c r="O1620" s="54"/>
      <c r="P1620" s="46"/>
    </row>
    <row r="1621" spans="1:16" ht="18.75" hidden="1">
      <c r="A1621" s="34"/>
      <c r="B1621" s="53" t="s">
        <v>180</v>
      </c>
      <c r="C1621" s="93"/>
      <c r="D1621" s="93"/>
      <c r="E1621" s="140" t="s">
        <v>154</v>
      </c>
      <c r="F1621" s="140"/>
      <c r="G1621" s="140"/>
      <c r="H1621" s="140"/>
      <c r="I1621" s="140"/>
      <c r="J1621" s="140"/>
      <c r="K1621" s="53"/>
      <c r="L1621" s="53"/>
      <c r="M1621" s="53"/>
      <c r="N1621" s="53"/>
      <c r="O1621" s="54"/>
      <c r="P1621" s="46"/>
    </row>
    <row r="1622" spans="1:16" ht="18.75" hidden="1">
      <c r="A1622" s="56"/>
      <c r="B1622" s="145"/>
      <c r="C1622" s="145"/>
      <c r="D1622" s="145"/>
      <c r="E1622" s="55"/>
      <c r="F1622" s="55"/>
      <c r="G1622" s="55"/>
      <c r="H1622" s="55"/>
      <c r="I1622" s="56"/>
      <c r="J1622" s="63"/>
      <c r="K1622" s="53"/>
      <c r="L1622" s="53"/>
      <c r="M1622" s="53"/>
      <c r="N1622" s="53"/>
      <c r="O1622" s="54"/>
      <c r="P1622" s="46"/>
    </row>
    <row r="1623" spans="1:16" ht="18.75" hidden="1">
      <c r="A1623" s="53"/>
      <c r="B1623" s="53" t="s">
        <v>504</v>
      </c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4"/>
      <c r="P1623" s="46"/>
    </row>
    <row r="1624" spans="1:16" ht="18.75" hidden="1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4"/>
      <c r="P1624" s="46"/>
    </row>
    <row r="1625" spans="1:16" ht="56.25" hidden="1">
      <c r="A1625" s="49" t="s">
        <v>155</v>
      </c>
      <c r="B1625" s="259" t="s">
        <v>0</v>
      </c>
      <c r="C1625" s="259"/>
      <c r="D1625" s="259"/>
      <c r="E1625" s="259" t="s">
        <v>168</v>
      </c>
      <c r="F1625" s="259"/>
      <c r="G1625" s="259" t="s">
        <v>189</v>
      </c>
      <c r="H1625" s="259"/>
      <c r="I1625" s="61" t="s">
        <v>190</v>
      </c>
      <c r="J1625" s="61" t="s">
        <v>219</v>
      </c>
      <c r="K1625" s="53"/>
      <c r="L1625" s="53"/>
      <c r="M1625" s="53"/>
      <c r="N1625" s="53"/>
      <c r="O1625" s="54"/>
      <c r="P1625" s="46"/>
    </row>
    <row r="1626" spans="1:16" ht="18.75" hidden="1">
      <c r="A1626" s="187">
        <v>1</v>
      </c>
      <c r="B1626" s="203">
        <v>2</v>
      </c>
      <c r="C1626" s="203"/>
      <c r="D1626" s="203"/>
      <c r="E1626" s="203">
        <v>3</v>
      </c>
      <c r="F1626" s="203"/>
      <c r="G1626" s="203">
        <v>4</v>
      </c>
      <c r="H1626" s="203"/>
      <c r="I1626" s="187">
        <v>5</v>
      </c>
      <c r="J1626" s="187">
        <v>6</v>
      </c>
      <c r="K1626" s="193"/>
      <c r="L1626" s="53"/>
      <c r="M1626" s="53"/>
      <c r="N1626" s="53"/>
      <c r="O1626" s="54"/>
      <c r="P1626" s="46"/>
    </row>
    <row r="1627" spans="1:16" ht="63.75" customHeight="1" hidden="1">
      <c r="A1627" s="49">
        <v>1</v>
      </c>
      <c r="B1627" s="211" t="s">
        <v>339</v>
      </c>
      <c r="C1627" s="211"/>
      <c r="D1627" s="211"/>
      <c r="E1627" s="203">
        <v>344</v>
      </c>
      <c r="F1627" s="203"/>
      <c r="G1627" s="203">
        <v>69</v>
      </c>
      <c r="H1627" s="203"/>
      <c r="I1627" s="52">
        <f>J1627/G1627</f>
        <v>501.4492753623188</v>
      </c>
      <c r="J1627" s="52">
        <v>34600</v>
      </c>
      <c r="K1627" s="53"/>
      <c r="L1627" s="53"/>
      <c r="M1627" s="53"/>
      <c r="N1627" s="53"/>
      <c r="O1627" s="54"/>
      <c r="P1627" s="46"/>
    </row>
    <row r="1628" spans="1:16" ht="18.75" hidden="1">
      <c r="A1628" s="49"/>
      <c r="B1628" s="201" t="s">
        <v>130</v>
      </c>
      <c r="C1628" s="226"/>
      <c r="D1628" s="202"/>
      <c r="E1628" s="203"/>
      <c r="F1628" s="203"/>
      <c r="G1628" s="203"/>
      <c r="H1628" s="203"/>
      <c r="I1628" s="49" t="s">
        <v>6</v>
      </c>
      <c r="J1628" s="52">
        <f>SUM(J1627:J1627)</f>
        <v>34600</v>
      </c>
      <c r="K1628" s="53"/>
      <c r="L1628" s="53"/>
      <c r="M1628" s="53"/>
      <c r="N1628" s="53"/>
      <c r="O1628" s="54"/>
      <c r="P1628" s="46"/>
    </row>
    <row r="1629" spans="1:16" ht="18.75" hidden="1">
      <c r="A1629" s="56"/>
      <c r="B1629" s="145"/>
      <c r="C1629" s="145"/>
      <c r="D1629" s="145"/>
      <c r="E1629" s="55"/>
      <c r="F1629" s="55"/>
      <c r="G1629" s="55"/>
      <c r="H1629" s="55"/>
      <c r="I1629" s="56"/>
      <c r="J1629" s="63"/>
      <c r="K1629" s="53"/>
      <c r="L1629" s="53"/>
      <c r="M1629" s="53"/>
      <c r="N1629" s="53"/>
      <c r="O1629" s="54"/>
      <c r="P1629" s="46"/>
    </row>
    <row r="1630" spans="1:16" ht="18.75" hidden="1">
      <c r="A1630" s="53"/>
      <c r="B1630" s="53" t="s">
        <v>505</v>
      </c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4"/>
      <c r="P1630" s="46"/>
    </row>
    <row r="1631" spans="1:16" ht="18.75" hidden="1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4"/>
      <c r="P1631" s="46"/>
    </row>
    <row r="1632" spans="1:16" ht="56.25" hidden="1">
      <c r="A1632" s="49" t="s">
        <v>155</v>
      </c>
      <c r="B1632" s="259" t="s">
        <v>0</v>
      </c>
      <c r="C1632" s="259"/>
      <c r="D1632" s="259"/>
      <c r="E1632" s="259" t="s">
        <v>168</v>
      </c>
      <c r="F1632" s="259"/>
      <c r="G1632" s="259" t="s">
        <v>354</v>
      </c>
      <c r="H1632" s="259"/>
      <c r="I1632" s="61" t="s">
        <v>190</v>
      </c>
      <c r="J1632" s="61" t="s">
        <v>219</v>
      </c>
      <c r="K1632" s="53"/>
      <c r="L1632" s="53"/>
      <c r="M1632" s="53"/>
      <c r="N1632" s="53"/>
      <c r="O1632" s="54"/>
      <c r="P1632" s="46"/>
    </row>
    <row r="1633" spans="1:16" ht="18.75" hidden="1">
      <c r="A1633" s="187">
        <v>1</v>
      </c>
      <c r="B1633" s="203">
        <v>2</v>
      </c>
      <c r="C1633" s="203"/>
      <c r="D1633" s="203"/>
      <c r="E1633" s="203">
        <v>3</v>
      </c>
      <c r="F1633" s="203"/>
      <c r="G1633" s="203">
        <v>4</v>
      </c>
      <c r="H1633" s="203"/>
      <c r="I1633" s="187">
        <v>5</v>
      </c>
      <c r="J1633" s="187">
        <v>6</v>
      </c>
      <c r="K1633" s="193"/>
      <c r="L1633" s="53"/>
      <c r="M1633" s="53"/>
      <c r="N1633" s="53"/>
      <c r="O1633" s="54"/>
      <c r="P1633" s="46"/>
    </row>
    <row r="1634" spans="1:16" ht="18.75" hidden="1">
      <c r="A1634" s="49">
        <v>1</v>
      </c>
      <c r="B1634" s="198" t="s">
        <v>417</v>
      </c>
      <c r="C1634" s="199"/>
      <c r="D1634" s="200"/>
      <c r="E1634" s="201">
        <v>346</v>
      </c>
      <c r="F1634" s="202"/>
      <c r="G1634" s="201">
        <v>207</v>
      </c>
      <c r="H1634" s="202"/>
      <c r="I1634" s="52">
        <f>J1634/G1634</f>
        <v>300.1974879227053</v>
      </c>
      <c r="J1634" s="52">
        <f>62140.88</f>
        <v>62140.88</v>
      </c>
      <c r="K1634" s="53"/>
      <c r="L1634" s="53"/>
      <c r="M1634" s="53"/>
      <c r="N1634" s="53"/>
      <c r="O1634" s="54"/>
      <c r="P1634" s="46"/>
    </row>
    <row r="1635" spans="1:16" ht="18.75" hidden="1">
      <c r="A1635" s="49"/>
      <c r="B1635" s="201" t="s">
        <v>130</v>
      </c>
      <c r="C1635" s="226"/>
      <c r="D1635" s="202"/>
      <c r="E1635" s="203"/>
      <c r="F1635" s="203"/>
      <c r="G1635" s="203"/>
      <c r="H1635" s="203"/>
      <c r="I1635" s="49" t="s">
        <v>6</v>
      </c>
      <c r="J1635" s="52">
        <f>SUM(J1634:J1634)</f>
        <v>62140.88</v>
      </c>
      <c r="K1635" s="53"/>
      <c r="L1635" s="53"/>
      <c r="M1635" s="53"/>
      <c r="N1635" s="53"/>
      <c r="O1635" s="54"/>
      <c r="P1635" s="46"/>
    </row>
    <row r="1636" spans="1:16" ht="18.75" hidden="1">
      <c r="A1636" s="56"/>
      <c r="B1636" s="145"/>
      <c r="C1636" s="145"/>
      <c r="D1636" s="145"/>
      <c r="E1636" s="55"/>
      <c r="F1636" s="55"/>
      <c r="G1636" s="55"/>
      <c r="H1636" s="55"/>
      <c r="I1636" s="56"/>
      <c r="J1636" s="63"/>
      <c r="K1636" s="53"/>
      <c r="L1636" s="53"/>
      <c r="M1636" s="53"/>
      <c r="N1636" s="53"/>
      <c r="O1636" s="54"/>
      <c r="P1636" s="46"/>
    </row>
    <row r="1637" spans="1:16" ht="18.75" hidden="1">
      <c r="A1637" s="53"/>
      <c r="B1637" s="53" t="s">
        <v>506</v>
      </c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4"/>
      <c r="P1637" s="44"/>
    </row>
    <row r="1638" spans="1:16" ht="18.75" hidden="1">
      <c r="A1638" s="35"/>
      <c r="B1638" s="53" t="s">
        <v>179</v>
      </c>
      <c r="C1638" s="53"/>
      <c r="D1638" s="140">
        <v>244</v>
      </c>
      <c r="E1638" s="140"/>
      <c r="F1638" s="140"/>
      <c r="G1638" s="56"/>
      <c r="H1638" s="53"/>
      <c r="I1638" s="53"/>
      <c r="J1638" s="53"/>
      <c r="K1638" s="53"/>
      <c r="L1638" s="53"/>
      <c r="M1638" s="53"/>
      <c r="N1638" s="53"/>
      <c r="O1638" s="54"/>
      <c r="P1638" s="44"/>
    </row>
    <row r="1639" spans="1:16" ht="18.75" hidden="1">
      <c r="A1639" s="35"/>
      <c r="B1639" s="53" t="s">
        <v>153</v>
      </c>
      <c r="C1639" s="53"/>
      <c r="D1639" s="142" t="s">
        <v>277</v>
      </c>
      <c r="E1639" s="142"/>
      <c r="F1639" s="142"/>
      <c r="G1639" s="56"/>
      <c r="H1639" s="53"/>
      <c r="I1639" s="53"/>
      <c r="J1639" s="53"/>
      <c r="K1639" s="53"/>
      <c r="L1639" s="53"/>
      <c r="M1639" s="53"/>
      <c r="N1639" s="53"/>
      <c r="O1639" s="54"/>
      <c r="P1639" s="44"/>
    </row>
    <row r="1640" spans="1:16" ht="18.75" hidden="1">
      <c r="A1640" s="53"/>
      <c r="B1640" s="53"/>
      <c r="C1640" s="56"/>
      <c r="D1640" s="56"/>
      <c r="E1640" s="56"/>
      <c r="F1640" s="56"/>
      <c r="G1640" s="53"/>
      <c r="H1640" s="53"/>
      <c r="I1640" s="53"/>
      <c r="J1640" s="53"/>
      <c r="K1640" s="53"/>
      <c r="L1640" s="53"/>
      <c r="M1640" s="53"/>
      <c r="N1640" s="53"/>
      <c r="O1640" s="54"/>
      <c r="P1640" s="44"/>
    </row>
    <row r="1641" spans="1:16" ht="18.75" hidden="1">
      <c r="A1641" s="53"/>
      <c r="B1641" s="53" t="s">
        <v>507</v>
      </c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4"/>
      <c r="P1641" s="44"/>
    </row>
    <row r="1642" spans="1:16" ht="18.75" hidden="1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4"/>
      <c r="P1642" s="44"/>
    </row>
    <row r="1643" spans="1:16" ht="37.5" customHeight="1" hidden="1">
      <c r="A1643" s="49" t="s">
        <v>155</v>
      </c>
      <c r="B1643" s="259" t="s">
        <v>0</v>
      </c>
      <c r="C1643" s="259"/>
      <c r="D1643" s="259"/>
      <c r="E1643" s="259" t="s">
        <v>168</v>
      </c>
      <c r="F1643" s="259"/>
      <c r="G1643" s="259" t="s">
        <v>188</v>
      </c>
      <c r="H1643" s="259"/>
      <c r="I1643" s="61" t="s">
        <v>173</v>
      </c>
      <c r="J1643" s="53"/>
      <c r="K1643" s="53"/>
      <c r="L1643" s="53"/>
      <c r="M1643" s="53"/>
      <c r="N1643" s="53"/>
      <c r="O1643" s="54"/>
      <c r="P1643" s="60"/>
    </row>
    <row r="1644" spans="1:16" ht="18.75" hidden="1">
      <c r="A1644" s="187">
        <v>1</v>
      </c>
      <c r="B1644" s="203">
        <v>2</v>
      </c>
      <c r="C1644" s="203"/>
      <c r="D1644" s="203"/>
      <c r="E1644" s="203">
        <v>3</v>
      </c>
      <c r="F1644" s="203"/>
      <c r="G1644" s="203">
        <v>4</v>
      </c>
      <c r="H1644" s="203"/>
      <c r="I1644" s="187">
        <v>5</v>
      </c>
      <c r="J1644" s="193"/>
      <c r="K1644" s="193"/>
      <c r="L1644" s="193"/>
      <c r="M1644" s="193"/>
      <c r="N1644" s="193"/>
      <c r="O1644" s="62"/>
      <c r="P1644" s="45"/>
    </row>
    <row r="1645" spans="1:16" ht="18.75" customHeight="1" hidden="1">
      <c r="A1645" s="49">
        <v>1</v>
      </c>
      <c r="B1645" s="262" t="s">
        <v>218</v>
      </c>
      <c r="C1645" s="262"/>
      <c r="D1645" s="262"/>
      <c r="E1645" s="203">
        <v>226</v>
      </c>
      <c r="F1645" s="203"/>
      <c r="G1645" s="203">
        <v>12</v>
      </c>
      <c r="H1645" s="203"/>
      <c r="I1645" s="52">
        <v>208581</v>
      </c>
      <c r="J1645" s="53"/>
      <c r="K1645" s="53"/>
      <c r="L1645" s="53"/>
      <c r="M1645" s="53"/>
      <c r="N1645" s="53"/>
      <c r="O1645" s="54"/>
      <c r="P1645" s="44"/>
    </row>
    <row r="1646" spans="1:16" ht="18.75" hidden="1">
      <c r="A1646" s="49"/>
      <c r="B1646" s="201" t="s">
        <v>130</v>
      </c>
      <c r="C1646" s="226"/>
      <c r="D1646" s="202"/>
      <c r="E1646" s="203"/>
      <c r="F1646" s="203"/>
      <c r="G1646" s="203" t="s">
        <v>6</v>
      </c>
      <c r="H1646" s="203"/>
      <c r="I1646" s="52">
        <f>SUM(I1645:I1645)</f>
        <v>208581</v>
      </c>
      <c r="J1646" s="53"/>
      <c r="K1646" s="53"/>
      <c r="L1646" s="53"/>
      <c r="M1646" s="53"/>
      <c r="N1646" s="53"/>
      <c r="O1646" s="54"/>
      <c r="P1646" s="46"/>
    </row>
    <row r="1647" spans="1:16" ht="18.75" hidden="1">
      <c r="A1647" s="56"/>
      <c r="B1647" s="56"/>
      <c r="C1647" s="56"/>
      <c r="D1647" s="56"/>
      <c r="E1647" s="63"/>
      <c r="F1647" s="56"/>
      <c r="G1647" s="53"/>
      <c r="H1647" s="53"/>
      <c r="I1647" s="53"/>
      <c r="J1647" s="53"/>
      <c r="K1647" s="53"/>
      <c r="L1647" s="53"/>
      <c r="M1647" s="53"/>
      <c r="N1647" s="53"/>
      <c r="O1647" s="54"/>
      <c r="P1647" s="44"/>
    </row>
    <row r="1648" spans="1:16" ht="18.75" hidden="1">
      <c r="A1648" s="53"/>
      <c r="B1648" s="53" t="s">
        <v>508</v>
      </c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4"/>
      <c r="P1648" s="44"/>
    </row>
    <row r="1649" spans="1:16" ht="18.75" hidden="1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4"/>
      <c r="P1649" s="44"/>
    </row>
    <row r="1650" spans="1:16" ht="56.25" customHeight="1" hidden="1">
      <c r="A1650" s="49" t="s">
        <v>155</v>
      </c>
      <c r="B1650" s="259" t="s">
        <v>0</v>
      </c>
      <c r="C1650" s="259"/>
      <c r="D1650" s="259"/>
      <c r="E1650" s="259" t="s">
        <v>168</v>
      </c>
      <c r="F1650" s="259"/>
      <c r="G1650" s="259" t="s">
        <v>189</v>
      </c>
      <c r="H1650" s="259"/>
      <c r="I1650" s="61" t="s">
        <v>190</v>
      </c>
      <c r="J1650" s="61" t="s">
        <v>191</v>
      </c>
      <c r="K1650" s="53"/>
      <c r="L1650" s="53"/>
      <c r="M1650" s="53"/>
      <c r="N1650" s="53"/>
      <c r="O1650" s="54"/>
      <c r="P1650" s="60"/>
    </row>
    <row r="1651" spans="1:16" ht="18.75" hidden="1">
      <c r="A1651" s="187">
        <v>1</v>
      </c>
      <c r="B1651" s="203">
        <v>2</v>
      </c>
      <c r="C1651" s="203"/>
      <c r="D1651" s="203"/>
      <c r="E1651" s="203">
        <v>3</v>
      </c>
      <c r="F1651" s="203"/>
      <c r="G1651" s="203">
        <v>4</v>
      </c>
      <c r="H1651" s="203"/>
      <c r="I1651" s="187">
        <v>5</v>
      </c>
      <c r="J1651" s="187">
        <v>6</v>
      </c>
      <c r="K1651" s="193"/>
      <c r="L1651" s="193"/>
      <c r="M1651" s="193"/>
      <c r="N1651" s="193"/>
      <c r="O1651" s="62"/>
      <c r="P1651" s="45"/>
    </row>
    <row r="1652" spans="1:16" ht="18.75" customHeight="1" hidden="1">
      <c r="A1652" s="49">
        <v>1</v>
      </c>
      <c r="B1652" s="198" t="s">
        <v>283</v>
      </c>
      <c r="C1652" s="199"/>
      <c r="D1652" s="200"/>
      <c r="E1652" s="203">
        <v>310</v>
      </c>
      <c r="F1652" s="203"/>
      <c r="G1652" s="264">
        <v>8</v>
      </c>
      <c r="H1652" s="264"/>
      <c r="I1652" s="52">
        <f>J1652/G1652</f>
        <v>25000</v>
      </c>
      <c r="J1652" s="52">
        <v>200000</v>
      </c>
      <c r="K1652" s="53"/>
      <c r="L1652" s="53"/>
      <c r="M1652" s="53"/>
      <c r="N1652" s="53"/>
      <c r="O1652" s="54"/>
      <c r="P1652" s="44"/>
    </row>
    <row r="1653" spans="1:16" ht="18.75" hidden="1">
      <c r="A1653" s="49"/>
      <c r="B1653" s="203" t="s">
        <v>130</v>
      </c>
      <c r="C1653" s="203"/>
      <c r="D1653" s="203"/>
      <c r="E1653" s="203"/>
      <c r="F1653" s="203"/>
      <c r="G1653" s="203"/>
      <c r="H1653" s="203"/>
      <c r="I1653" s="49" t="s">
        <v>6</v>
      </c>
      <c r="J1653" s="183">
        <f>SUM(J1652:J1652)</f>
        <v>200000</v>
      </c>
      <c r="K1653" s="53"/>
      <c r="L1653" s="53"/>
      <c r="M1653" s="53"/>
      <c r="N1653" s="53"/>
      <c r="O1653" s="54"/>
      <c r="P1653" s="47"/>
    </row>
    <row r="1654" spans="1:16" ht="18.75" hidden="1">
      <c r="A1654" s="56"/>
      <c r="B1654" s="55"/>
      <c r="C1654" s="55"/>
      <c r="D1654" s="55"/>
      <c r="E1654" s="55"/>
      <c r="F1654" s="55"/>
      <c r="G1654" s="55"/>
      <c r="H1654" s="55"/>
      <c r="I1654" s="56"/>
      <c r="J1654" s="146"/>
      <c r="K1654" s="53"/>
      <c r="L1654" s="53"/>
      <c r="M1654" s="53"/>
      <c r="N1654" s="53"/>
      <c r="O1654" s="54"/>
      <c r="P1654" s="47"/>
    </row>
    <row r="1655" spans="1:16" ht="18.75" hidden="1">
      <c r="A1655" s="53"/>
      <c r="B1655" s="53" t="s">
        <v>509</v>
      </c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4"/>
      <c r="P1655" s="47"/>
    </row>
    <row r="1656" spans="1:16" ht="18.75" hidden="1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4"/>
      <c r="P1656" s="47"/>
    </row>
    <row r="1657" spans="1:16" ht="56.25" hidden="1">
      <c r="A1657" s="49" t="s">
        <v>155</v>
      </c>
      <c r="B1657" s="259" t="s">
        <v>0</v>
      </c>
      <c r="C1657" s="259"/>
      <c r="D1657" s="259"/>
      <c r="E1657" s="259" t="s">
        <v>168</v>
      </c>
      <c r="F1657" s="259"/>
      <c r="G1657" s="259" t="s">
        <v>189</v>
      </c>
      <c r="H1657" s="259"/>
      <c r="I1657" s="61" t="s">
        <v>190</v>
      </c>
      <c r="J1657" s="61" t="s">
        <v>219</v>
      </c>
      <c r="K1657" s="53"/>
      <c r="L1657" s="53"/>
      <c r="M1657" s="53"/>
      <c r="N1657" s="53"/>
      <c r="O1657" s="54"/>
      <c r="P1657" s="47"/>
    </row>
    <row r="1658" spans="1:16" ht="18.75" hidden="1">
      <c r="A1658" s="187">
        <v>1</v>
      </c>
      <c r="B1658" s="203">
        <v>2</v>
      </c>
      <c r="C1658" s="203"/>
      <c r="D1658" s="203"/>
      <c r="E1658" s="203">
        <v>3</v>
      </c>
      <c r="F1658" s="203"/>
      <c r="G1658" s="203">
        <v>4</v>
      </c>
      <c r="H1658" s="203"/>
      <c r="I1658" s="187">
        <v>5</v>
      </c>
      <c r="J1658" s="187">
        <v>6</v>
      </c>
      <c r="K1658" s="193"/>
      <c r="L1658" s="193"/>
      <c r="M1658" s="53"/>
      <c r="N1658" s="53"/>
      <c r="O1658" s="54"/>
      <c r="P1658" s="47"/>
    </row>
    <row r="1659" spans="1:16" ht="18.75" hidden="1">
      <c r="A1659" s="49">
        <v>1</v>
      </c>
      <c r="B1659" s="211" t="s">
        <v>284</v>
      </c>
      <c r="C1659" s="211"/>
      <c r="D1659" s="211"/>
      <c r="E1659" s="203">
        <v>346</v>
      </c>
      <c r="F1659" s="203"/>
      <c r="G1659" s="203">
        <v>1</v>
      </c>
      <c r="H1659" s="203"/>
      <c r="I1659" s="52">
        <f>J1659/G1659</f>
        <v>90000</v>
      </c>
      <c r="J1659" s="52">
        <v>90000</v>
      </c>
      <c r="K1659" s="53"/>
      <c r="L1659" s="53"/>
      <c r="M1659" s="53"/>
      <c r="N1659" s="53"/>
      <c r="O1659" s="54"/>
      <c r="P1659" s="47"/>
    </row>
    <row r="1660" spans="1:16" ht="18.75" hidden="1">
      <c r="A1660" s="49">
        <v>2</v>
      </c>
      <c r="B1660" s="211" t="s">
        <v>285</v>
      </c>
      <c r="C1660" s="211"/>
      <c r="D1660" s="211"/>
      <c r="E1660" s="203">
        <v>346</v>
      </c>
      <c r="F1660" s="203"/>
      <c r="G1660" s="203">
        <v>1</v>
      </c>
      <c r="H1660" s="203"/>
      <c r="I1660" s="52">
        <f>J1660/G1660</f>
        <v>41419</v>
      </c>
      <c r="J1660" s="52">
        <v>41419</v>
      </c>
      <c r="K1660" s="53"/>
      <c r="L1660" s="53"/>
      <c r="M1660" s="53"/>
      <c r="N1660" s="53"/>
      <c r="O1660" s="54"/>
      <c r="P1660" s="47"/>
    </row>
    <row r="1661" spans="1:16" ht="18.75" hidden="1">
      <c r="A1661" s="49"/>
      <c r="B1661" s="201" t="s">
        <v>130</v>
      </c>
      <c r="C1661" s="226"/>
      <c r="D1661" s="202"/>
      <c r="E1661" s="203"/>
      <c r="F1661" s="203"/>
      <c r="G1661" s="203"/>
      <c r="H1661" s="203"/>
      <c r="I1661" s="49" t="s">
        <v>6</v>
      </c>
      <c r="J1661" s="52">
        <f>SUM(J1659:J1660)</f>
        <v>131419</v>
      </c>
      <c r="K1661" s="53"/>
      <c r="L1661" s="53"/>
      <c r="M1661" s="53"/>
      <c r="N1661" s="53"/>
      <c r="O1661" s="54"/>
      <c r="P1661" s="47"/>
    </row>
    <row r="1662" spans="1:16" ht="18.75" hidden="1">
      <c r="A1662" s="56"/>
      <c r="B1662" s="55"/>
      <c r="C1662" s="55"/>
      <c r="D1662" s="55"/>
      <c r="E1662" s="55"/>
      <c r="F1662" s="55"/>
      <c r="G1662" s="55"/>
      <c r="H1662" s="55"/>
      <c r="I1662" s="56"/>
      <c r="J1662" s="146"/>
      <c r="K1662" s="53"/>
      <c r="L1662" s="53"/>
      <c r="M1662" s="53"/>
      <c r="N1662" s="53"/>
      <c r="O1662" s="54"/>
      <c r="P1662" s="47"/>
    </row>
    <row r="1663" spans="1:16" ht="18.75" hidden="1">
      <c r="A1663" s="53"/>
      <c r="B1663" s="53" t="s">
        <v>510</v>
      </c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4"/>
      <c r="P1663" s="47"/>
    </row>
    <row r="1664" spans="1:16" ht="18.75" hidden="1">
      <c r="A1664" s="53"/>
      <c r="B1664" s="53" t="s">
        <v>152</v>
      </c>
      <c r="C1664" s="53"/>
      <c r="D1664" s="192">
        <v>100</v>
      </c>
      <c r="E1664" s="56"/>
      <c r="F1664" s="56"/>
      <c r="G1664" s="56"/>
      <c r="H1664" s="56"/>
      <c r="I1664" s="56"/>
      <c r="J1664" s="53"/>
      <c r="K1664" s="53"/>
      <c r="L1664" s="53"/>
      <c r="M1664" s="53"/>
      <c r="N1664" s="53"/>
      <c r="O1664" s="54"/>
      <c r="P1664" s="47"/>
    </row>
    <row r="1665" spans="1:16" ht="18.75" hidden="1">
      <c r="A1665" s="53"/>
      <c r="B1665" s="53" t="s">
        <v>153</v>
      </c>
      <c r="C1665" s="53"/>
      <c r="D1665" s="53"/>
      <c r="E1665" s="55" t="s">
        <v>347</v>
      </c>
      <c r="F1665" s="56" t="s">
        <v>228</v>
      </c>
      <c r="G1665" s="56"/>
      <c r="H1665" s="56"/>
      <c r="I1665" s="56"/>
      <c r="J1665" s="56"/>
      <c r="K1665" s="53"/>
      <c r="L1665" s="53"/>
      <c r="M1665" s="53"/>
      <c r="N1665" s="53"/>
      <c r="O1665" s="54"/>
      <c r="P1665" s="47"/>
    </row>
    <row r="1666" spans="1:16" ht="18.75" hidden="1">
      <c r="A1666" s="53"/>
      <c r="B1666" s="53"/>
      <c r="C1666" s="53"/>
      <c r="D1666" s="53"/>
      <c r="E1666" s="55"/>
      <c r="F1666" s="56"/>
      <c r="G1666" s="56"/>
      <c r="H1666" s="56"/>
      <c r="I1666" s="56"/>
      <c r="J1666" s="56"/>
      <c r="K1666" s="53"/>
      <c r="L1666" s="53"/>
      <c r="M1666" s="53"/>
      <c r="N1666" s="53"/>
      <c r="O1666" s="54"/>
      <c r="P1666" s="47"/>
    </row>
    <row r="1667" spans="1:16" ht="18.75" hidden="1">
      <c r="A1667" s="53"/>
      <c r="B1667" s="53" t="s">
        <v>511</v>
      </c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4"/>
      <c r="P1667" s="47"/>
    </row>
    <row r="1668" spans="1:16" ht="18.75" hidden="1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4"/>
      <c r="P1668" s="47"/>
    </row>
    <row r="1669" spans="1:16" ht="56.25" hidden="1">
      <c r="A1669" s="124" t="s">
        <v>155</v>
      </c>
      <c r="B1669" s="260" t="s">
        <v>156</v>
      </c>
      <c r="C1669" s="260"/>
      <c r="D1669" s="260"/>
      <c r="E1669" s="260"/>
      <c r="F1669" s="260" t="s">
        <v>157</v>
      </c>
      <c r="G1669" s="260"/>
      <c r="H1669" s="188" t="s">
        <v>158</v>
      </c>
      <c r="I1669" s="188" t="s">
        <v>159</v>
      </c>
      <c r="J1669" s="232" t="s">
        <v>348</v>
      </c>
      <c r="K1669" s="233"/>
      <c r="L1669" s="117"/>
      <c r="M1669" s="53"/>
      <c r="N1669" s="53"/>
      <c r="O1669" s="54"/>
      <c r="P1669" s="47"/>
    </row>
    <row r="1670" spans="1:16" ht="18.75" hidden="1">
      <c r="A1670" s="187">
        <v>1</v>
      </c>
      <c r="B1670" s="232">
        <v>2</v>
      </c>
      <c r="C1670" s="237"/>
      <c r="D1670" s="237"/>
      <c r="E1670" s="233"/>
      <c r="F1670" s="227">
        <v>3</v>
      </c>
      <c r="G1670" s="228"/>
      <c r="H1670" s="191">
        <v>4</v>
      </c>
      <c r="I1670" s="119">
        <v>5</v>
      </c>
      <c r="J1670" s="227">
        <v>6</v>
      </c>
      <c r="K1670" s="228"/>
      <c r="L1670" s="193"/>
      <c r="M1670" s="53"/>
      <c r="N1670" s="53"/>
      <c r="O1670" s="54"/>
      <c r="P1670" s="47"/>
    </row>
    <row r="1671" spans="1:16" ht="127.5" customHeight="1" hidden="1">
      <c r="A1671" s="125">
        <v>1</v>
      </c>
      <c r="B1671" s="198" t="s">
        <v>349</v>
      </c>
      <c r="C1671" s="199"/>
      <c r="D1671" s="199"/>
      <c r="E1671" s="200"/>
      <c r="F1671" s="203">
        <v>211</v>
      </c>
      <c r="G1671" s="203"/>
      <c r="H1671" s="173">
        <f>J1671/I1671</f>
        <v>205000</v>
      </c>
      <c r="I1671" s="120">
        <v>12</v>
      </c>
      <c r="J1671" s="215">
        <v>2460000</v>
      </c>
      <c r="K1671" s="215"/>
      <c r="L1671" s="53"/>
      <c r="M1671" s="53"/>
      <c r="N1671" s="53"/>
      <c r="O1671" s="54"/>
      <c r="P1671" s="47"/>
    </row>
    <row r="1672" spans="1:16" ht="18.75" hidden="1">
      <c r="A1672" s="49"/>
      <c r="B1672" s="201" t="s">
        <v>130</v>
      </c>
      <c r="C1672" s="226"/>
      <c r="D1672" s="226"/>
      <c r="E1672" s="202"/>
      <c r="F1672" s="203"/>
      <c r="G1672" s="203"/>
      <c r="H1672" s="135" t="s">
        <v>6</v>
      </c>
      <c r="I1672" s="136" t="s">
        <v>6</v>
      </c>
      <c r="J1672" s="215">
        <f>SUM(J1671:K1671)</f>
        <v>2460000</v>
      </c>
      <c r="K1672" s="215"/>
      <c r="L1672" s="53"/>
      <c r="M1672" s="53"/>
      <c r="N1672" s="53"/>
      <c r="O1672" s="54"/>
      <c r="P1672" s="47"/>
    </row>
    <row r="1673" spans="1:16" ht="18.75" hidden="1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4"/>
      <c r="P1673" s="47"/>
    </row>
    <row r="1674" spans="1:16" ht="18.75" hidden="1">
      <c r="A1674" s="53"/>
      <c r="B1674" s="53" t="s">
        <v>512</v>
      </c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4"/>
      <c r="P1674" s="47"/>
    </row>
    <row r="1675" spans="1:16" ht="18.75" hidden="1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4"/>
      <c r="P1675" s="47"/>
    </row>
    <row r="1676" spans="1:16" ht="93.75" hidden="1">
      <c r="A1676" s="124" t="s">
        <v>155</v>
      </c>
      <c r="B1676" s="234" t="s">
        <v>167</v>
      </c>
      <c r="C1676" s="235"/>
      <c r="D1676" s="235"/>
      <c r="E1676" s="236"/>
      <c r="F1676" s="232" t="s">
        <v>157</v>
      </c>
      <c r="G1676" s="233"/>
      <c r="H1676" s="188" t="s">
        <v>350</v>
      </c>
      <c r="I1676" s="232" t="s">
        <v>351</v>
      </c>
      <c r="J1676" s="233"/>
      <c r="K1676" s="117"/>
      <c r="L1676" s="117"/>
      <c r="M1676" s="53"/>
      <c r="N1676" s="53"/>
      <c r="O1676" s="54"/>
      <c r="P1676" s="47"/>
    </row>
    <row r="1677" spans="1:16" ht="18.75" hidden="1">
      <c r="A1677" s="187">
        <v>1</v>
      </c>
      <c r="B1677" s="201">
        <v>2</v>
      </c>
      <c r="C1677" s="226"/>
      <c r="D1677" s="226"/>
      <c r="E1677" s="202"/>
      <c r="F1677" s="201">
        <v>3</v>
      </c>
      <c r="G1677" s="202"/>
      <c r="H1677" s="187">
        <v>4</v>
      </c>
      <c r="I1677" s="201">
        <v>5</v>
      </c>
      <c r="J1677" s="202"/>
      <c r="K1677" s="53"/>
      <c r="L1677" s="53"/>
      <c r="M1677" s="53"/>
      <c r="N1677" s="53"/>
      <c r="O1677" s="54"/>
      <c r="P1677" s="47"/>
    </row>
    <row r="1678" spans="1:16" ht="75" customHeight="1" hidden="1">
      <c r="A1678" s="49">
        <v>1</v>
      </c>
      <c r="B1678" s="204" t="s">
        <v>352</v>
      </c>
      <c r="C1678" s="205"/>
      <c r="D1678" s="205"/>
      <c r="E1678" s="206"/>
      <c r="F1678" s="201">
        <v>213</v>
      </c>
      <c r="G1678" s="202"/>
      <c r="H1678" s="123">
        <v>30.2</v>
      </c>
      <c r="I1678" s="209">
        <v>742900</v>
      </c>
      <c r="J1678" s="210"/>
      <c r="K1678" s="130"/>
      <c r="L1678" s="130"/>
      <c r="M1678" s="53"/>
      <c r="N1678" s="53"/>
      <c r="O1678" s="54"/>
      <c r="P1678" s="47"/>
    </row>
    <row r="1679" spans="1:16" ht="18.75" hidden="1">
      <c r="A1679" s="49"/>
      <c r="B1679" s="201" t="s">
        <v>130</v>
      </c>
      <c r="C1679" s="226"/>
      <c r="D1679" s="226"/>
      <c r="E1679" s="202"/>
      <c r="F1679" s="201"/>
      <c r="G1679" s="202"/>
      <c r="H1679" s="49" t="s">
        <v>172</v>
      </c>
      <c r="I1679" s="209">
        <f>SUM(I1678:J1678)</f>
        <v>742900</v>
      </c>
      <c r="J1679" s="210"/>
      <c r="K1679" s="53"/>
      <c r="L1679" s="53"/>
      <c r="M1679" s="53"/>
      <c r="N1679" s="53"/>
      <c r="O1679" s="54"/>
      <c r="P1679" s="47"/>
    </row>
    <row r="1680" spans="1:16" ht="18.75" hidden="1">
      <c r="A1680" s="56"/>
      <c r="B1680" s="55"/>
      <c r="C1680" s="55"/>
      <c r="D1680" s="55"/>
      <c r="E1680" s="55"/>
      <c r="F1680" s="55"/>
      <c r="G1680" s="55"/>
      <c r="H1680" s="55"/>
      <c r="I1680" s="56"/>
      <c r="J1680" s="146"/>
      <c r="K1680" s="53"/>
      <c r="L1680" s="53"/>
      <c r="M1680" s="53"/>
      <c r="N1680" s="53"/>
      <c r="O1680" s="54"/>
      <c r="P1680" s="47"/>
    </row>
    <row r="1681" spans="1:16" ht="18.75" hidden="1">
      <c r="A1681" s="53"/>
      <c r="B1681" s="53" t="s">
        <v>513</v>
      </c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6"/>
      <c r="P1681" s="44"/>
    </row>
    <row r="1682" spans="1:16" ht="18.75" hidden="1">
      <c r="A1682" s="53"/>
      <c r="B1682" s="53" t="s">
        <v>152</v>
      </c>
      <c r="C1682" s="53"/>
      <c r="D1682" s="140">
        <v>244</v>
      </c>
      <c r="E1682" s="140"/>
      <c r="F1682" s="140"/>
      <c r="G1682" s="140"/>
      <c r="H1682" s="56"/>
      <c r="I1682" s="53"/>
      <c r="J1682" s="53"/>
      <c r="K1682" s="53"/>
      <c r="L1682" s="53"/>
      <c r="M1682" s="53"/>
      <c r="N1682" s="53"/>
      <c r="O1682" s="56"/>
      <c r="P1682" s="44"/>
    </row>
    <row r="1683" spans="1:16" ht="18.75" hidden="1">
      <c r="A1683" s="53"/>
      <c r="B1683" s="53" t="s">
        <v>153</v>
      </c>
      <c r="C1683" s="53"/>
      <c r="D1683" s="53"/>
      <c r="E1683" s="53"/>
      <c r="F1683" s="142" t="s">
        <v>228</v>
      </c>
      <c r="G1683" s="142"/>
      <c r="H1683" s="142"/>
      <c r="I1683" s="142"/>
      <c r="J1683" s="56"/>
      <c r="K1683" s="53"/>
      <c r="L1683" s="53"/>
      <c r="M1683" s="53"/>
      <c r="N1683" s="53"/>
      <c r="O1683" s="56"/>
      <c r="P1683" s="44"/>
    </row>
    <row r="1684" spans="1:16" ht="18.75" hidden="1">
      <c r="A1684" s="53"/>
      <c r="B1684" s="53"/>
      <c r="C1684" s="53"/>
      <c r="D1684" s="53"/>
      <c r="E1684" s="53"/>
      <c r="F1684" s="56"/>
      <c r="G1684" s="56"/>
      <c r="H1684" s="56"/>
      <c r="I1684" s="56"/>
      <c r="J1684" s="56"/>
      <c r="K1684" s="53"/>
      <c r="L1684" s="53"/>
      <c r="M1684" s="53"/>
      <c r="N1684" s="53"/>
      <c r="O1684" s="56"/>
      <c r="P1684" s="44"/>
    </row>
    <row r="1685" spans="1:16" ht="18.75" hidden="1">
      <c r="A1685" s="53"/>
      <c r="B1685" s="95" t="s">
        <v>514</v>
      </c>
      <c r="C1685" s="95"/>
      <c r="D1685" s="95"/>
      <c r="E1685" s="95"/>
      <c r="F1685" s="95"/>
      <c r="G1685" s="95"/>
      <c r="H1685" s="95"/>
      <c r="I1685" s="95"/>
      <c r="J1685" s="56"/>
      <c r="K1685" s="53"/>
      <c r="L1685" s="53"/>
      <c r="M1685" s="53"/>
      <c r="N1685" s="53"/>
      <c r="O1685" s="56"/>
      <c r="P1685" s="44"/>
    </row>
    <row r="1686" spans="1:16" ht="18.75" hidden="1">
      <c r="A1686" s="53"/>
      <c r="B1686" s="53"/>
      <c r="C1686" s="53"/>
      <c r="D1686" s="53"/>
      <c r="E1686" s="53"/>
      <c r="F1686" s="56"/>
      <c r="G1686" s="56"/>
      <c r="H1686" s="56"/>
      <c r="I1686" s="56"/>
      <c r="J1686" s="56"/>
      <c r="K1686" s="53"/>
      <c r="L1686" s="53"/>
      <c r="M1686" s="53"/>
      <c r="N1686" s="53"/>
      <c r="O1686" s="56"/>
      <c r="P1686" s="44"/>
    </row>
    <row r="1687" spans="1:16" ht="93.75" hidden="1">
      <c r="A1687" s="107" t="s">
        <v>155</v>
      </c>
      <c r="B1687" s="216" t="s">
        <v>156</v>
      </c>
      <c r="C1687" s="217"/>
      <c r="D1687" s="218"/>
      <c r="E1687" s="100" t="s">
        <v>168</v>
      </c>
      <c r="F1687" s="216" t="s">
        <v>249</v>
      </c>
      <c r="G1687" s="218"/>
      <c r="H1687" s="216" t="s">
        <v>250</v>
      </c>
      <c r="I1687" s="218"/>
      <c r="J1687" s="100" t="s">
        <v>251</v>
      </c>
      <c r="K1687" s="100" t="s">
        <v>177</v>
      </c>
      <c r="L1687" s="53"/>
      <c r="M1687" s="53"/>
      <c r="N1687" s="53"/>
      <c r="O1687" s="56"/>
      <c r="P1687" s="44"/>
    </row>
    <row r="1688" spans="1:16" ht="18.75" hidden="1">
      <c r="A1688" s="103">
        <v>1</v>
      </c>
      <c r="B1688" s="207">
        <v>2</v>
      </c>
      <c r="C1688" s="219"/>
      <c r="D1688" s="208"/>
      <c r="E1688" s="103">
        <v>3</v>
      </c>
      <c r="F1688" s="207">
        <v>4</v>
      </c>
      <c r="G1688" s="208"/>
      <c r="H1688" s="207">
        <v>5</v>
      </c>
      <c r="I1688" s="208"/>
      <c r="J1688" s="103">
        <v>6</v>
      </c>
      <c r="K1688" s="103">
        <v>7</v>
      </c>
      <c r="L1688" s="53"/>
      <c r="M1688" s="53"/>
      <c r="N1688" s="53"/>
      <c r="O1688" s="56"/>
      <c r="P1688" s="44"/>
    </row>
    <row r="1689" spans="1:16" ht="73.5" customHeight="1" hidden="1">
      <c r="A1689" s="107">
        <v>1</v>
      </c>
      <c r="B1689" s="204" t="s">
        <v>248</v>
      </c>
      <c r="C1689" s="205"/>
      <c r="D1689" s="206"/>
      <c r="E1689" s="107">
        <v>226</v>
      </c>
      <c r="F1689" s="207">
        <v>94</v>
      </c>
      <c r="G1689" s="208"/>
      <c r="H1689" s="207">
        <v>10</v>
      </c>
      <c r="I1689" s="208"/>
      <c r="J1689" s="109">
        <v>164</v>
      </c>
      <c r="K1689" s="109">
        <v>50000</v>
      </c>
      <c r="L1689" s="53"/>
      <c r="M1689" s="53"/>
      <c r="N1689" s="53"/>
      <c r="O1689" s="56"/>
      <c r="P1689" s="44"/>
    </row>
    <row r="1690" spans="1:16" ht="18.75" hidden="1">
      <c r="A1690" s="107"/>
      <c r="B1690" s="207" t="s">
        <v>130</v>
      </c>
      <c r="C1690" s="219"/>
      <c r="D1690" s="208"/>
      <c r="E1690" s="107"/>
      <c r="F1690" s="207" t="s">
        <v>172</v>
      </c>
      <c r="G1690" s="208"/>
      <c r="H1690" s="207" t="s">
        <v>172</v>
      </c>
      <c r="I1690" s="208"/>
      <c r="J1690" s="107" t="s">
        <v>172</v>
      </c>
      <c r="K1690" s="131">
        <f>SUM(K1689:K1689)</f>
        <v>50000</v>
      </c>
      <c r="L1690" s="53"/>
      <c r="M1690" s="53"/>
      <c r="N1690" s="53"/>
      <c r="O1690" s="56"/>
      <c r="P1690" s="44"/>
    </row>
    <row r="1691" spans="1:16" ht="18.75" hidden="1">
      <c r="A1691" s="94"/>
      <c r="B1691" s="137"/>
      <c r="C1691" s="137"/>
      <c r="D1691" s="137"/>
      <c r="E1691" s="94"/>
      <c r="F1691" s="138"/>
      <c r="G1691" s="138"/>
      <c r="H1691" s="138"/>
      <c r="I1691" s="138"/>
      <c r="J1691" s="94"/>
      <c r="K1691" s="139"/>
      <c r="L1691" s="53"/>
      <c r="M1691" s="53"/>
      <c r="N1691" s="53"/>
      <c r="O1691" s="56"/>
      <c r="P1691" s="44"/>
    </row>
    <row r="1692" spans="1:16" ht="18.75" hidden="1">
      <c r="A1692" s="53"/>
      <c r="B1692" s="95" t="s">
        <v>515</v>
      </c>
      <c r="C1692" s="95"/>
      <c r="D1692" s="95"/>
      <c r="E1692" s="95"/>
      <c r="F1692" s="95"/>
      <c r="G1692" s="95"/>
      <c r="H1692" s="95"/>
      <c r="I1692" s="95"/>
      <c r="J1692" s="56"/>
      <c r="K1692" s="139"/>
      <c r="L1692" s="53"/>
      <c r="M1692" s="53"/>
      <c r="N1692" s="53"/>
      <c r="O1692" s="56"/>
      <c r="P1692" s="44"/>
    </row>
    <row r="1693" spans="1:16" ht="18.75" hidden="1">
      <c r="A1693" s="53"/>
      <c r="B1693" s="53"/>
      <c r="C1693" s="53"/>
      <c r="D1693" s="53"/>
      <c r="E1693" s="53"/>
      <c r="F1693" s="56"/>
      <c r="G1693" s="56"/>
      <c r="H1693" s="56"/>
      <c r="I1693" s="56"/>
      <c r="J1693" s="56"/>
      <c r="K1693" s="139"/>
      <c r="L1693" s="53"/>
      <c r="M1693" s="53"/>
      <c r="N1693" s="53"/>
      <c r="O1693" s="56"/>
      <c r="P1693" s="44"/>
    </row>
    <row r="1694" spans="1:16" ht="93.75" hidden="1">
      <c r="A1694" s="107" t="s">
        <v>155</v>
      </c>
      <c r="B1694" s="216" t="s">
        <v>156</v>
      </c>
      <c r="C1694" s="217"/>
      <c r="D1694" s="218"/>
      <c r="E1694" s="100" t="s">
        <v>168</v>
      </c>
      <c r="F1694" s="216" t="s">
        <v>369</v>
      </c>
      <c r="G1694" s="218"/>
      <c r="H1694" s="100" t="s">
        <v>177</v>
      </c>
      <c r="I1694" s="53"/>
      <c r="J1694" s="53"/>
      <c r="K1694" s="139"/>
      <c r="L1694" s="53"/>
      <c r="M1694" s="53"/>
      <c r="N1694" s="53"/>
      <c r="O1694" s="56"/>
      <c r="P1694" s="44"/>
    </row>
    <row r="1695" spans="1:16" ht="18.75" hidden="1">
      <c r="A1695" s="103">
        <v>1</v>
      </c>
      <c r="B1695" s="207">
        <v>2</v>
      </c>
      <c r="C1695" s="219"/>
      <c r="D1695" s="208"/>
      <c r="E1695" s="103">
        <v>3</v>
      </c>
      <c r="F1695" s="207">
        <v>4</v>
      </c>
      <c r="G1695" s="208"/>
      <c r="H1695" s="103">
        <v>5</v>
      </c>
      <c r="I1695" s="53"/>
      <c r="J1695" s="53"/>
      <c r="K1695" s="139"/>
      <c r="L1695" s="53"/>
      <c r="M1695" s="53"/>
      <c r="N1695" s="53"/>
      <c r="O1695" s="56"/>
      <c r="P1695" s="44"/>
    </row>
    <row r="1696" spans="1:16" ht="93.75" customHeight="1" hidden="1">
      <c r="A1696" s="107">
        <v>1</v>
      </c>
      <c r="B1696" s="204" t="s">
        <v>346</v>
      </c>
      <c r="C1696" s="205"/>
      <c r="D1696" s="206"/>
      <c r="E1696" s="107">
        <v>226</v>
      </c>
      <c r="F1696" s="207">
        <v>1</v>
      </c>
      <c r="G1696" s="208"/>
      <c r="H1696" s="109">
        <v>5097700</v>
      </c>
      <c r="I1696" s="53"/>
      <c r="J1696" s="53"/>
      <c r="K1696" s="139"/>
      <c r="L1696" s="53"/>
      <c r="M1696" s="53"/>
      <c r="N1696" s="53"/>
      <c r="O1696" s="56"/>
      <c r="P1696" s="44"/>
    </row>
    <row r="1697" spans="1:16" ht="18.75" hidden="1">
      <c r="A1697" s="107"/>
      <c r="B1697" s="207" t="s">
        <v>130</v>
      </c>
      <c r="C1697" s="219"/>
      <c r="D1697" s="208"/>
      <c r="E1697" s="107"/>
      <c r="F1697" s="207" t="s">
        <v>172</v>
      </c>
      <c r="G1697" s="208"/>
      <c r="H1697" s="131">
        <f>H1696</f>
        <v>5097700</v>
      </c>
      <c r="I1697" s="53"/>
      <c r="J1697" s="53"/>
      <c r="K1697" s="139"/>
      <c r="L1697" s="53"/>
      <c r="M1697" s="53"/>
      <c r="N1697" s="53"/>
      <c r="O1697" s="56"/>
      <c r="P1697" s="44"/>
    </row>
    <row r="1698" spans="1:16" ht="18.75" hidden="1">
      <c r="A1698" s="94"/>
      <c r="B1698" s="137"/>
      <c r="C1698" s="137"/>
      <c r="D1698" s="137"/>
      <c r="E1698" s="94"/>
      <c r="F1698" s="138"/>
      <c r="G1698" s="138"/>
      <c r="H1698" s="138"/>
      <c r="I1698" s="138"/>
      <c r="J1698" s="94"/>
      <c r="K1698" s="139"/>
      <c r="L1698" s="53"/>
      <c r="M1698" s="53"/>
      <c r="N1698" s="53"/>
      <c r="O1698" s="56"/>
      <c r="P1698" s="44"/>
    </row>
    <row r="1699" spans="1:16" ht="18.75" hidden="1">
      <c r="A1699" s="53"/>
      <c r="B1699" s="95" t="s">
        <v>516</v>
      </c>
      <c r="C1699" s="95"/>
      <c r="D1699" s="95"/>
      <c r="E1699" s="95"/>
      <c r="F1699" s="95"/>
      <c r="G1699" s="95"/>
      <c r="H1699" s="95"/>
      <c r="I1699" s="95"/>
      <c r="J1699" s="56"/>
      <c r="K1699" s="53"/>
      <c r="L1699" s="53"/>
      <c r="M1699" s="53"/>
      <c r="N1699" s="53"/>
      <c r="O1699" s="56"/>
      <c r="P1699" s="44"/>
    </row>
    <row r="1700" spans="1:16" ht="18.75" hidden="1">
      <c r="A1700" s="53"/>
      <c r="B1700" s="53"/>
      <c r="C1700" s="53"/>
      <c r="D1700" s="53"/>
      <c r="E1700" s="53"/>
      <c r="F1700" s="56"/>
      <c r="G1700" s="56"/>
      <c r="H1700" s="56"/>
      <c r="I1700" s="56"/>
      <c r="J1700" s="56"/>
      <c r="K1700" s="53"/>
      <c r="L1700" s="53"/>
      <c r="M1700" s="53"/>
      <c r="N1700" s="53"/>
      <c r="O1700" s="56"/>
      <c r="P1700" s="44"/>
    </row>
    <row r="1701" spans="1:16" ht="93.75" hidden="1">
      <c r="A1701" s="107" t="s">
        <v>155</v>
      </c>
      <c r="B1701" s="216" t="s">
        <v>156</v>
      </c>
      <c r="C1701" s="217"/>
      <c r="D1701" s="218"/>
      <c r="E1701" s="100" t="s">
        <v>168</v>
      </c>
      <c r="F1701" s="216" t="s">
        <v>287</v>
      </c>
      <c r="G1701" s="218"/>
      <c r="H1701" s="216" t="s">
        <v>250</v>
      </c>
      <c r="I1701" s="218"/>
      <c r="J1701" s="100" t="s">
        <v>177</v>
      </c>
      <c r="K1701" s="53"/>
      <c r="L1701" s="53"/>
      <c r="M1701" s="53"/>
      <c r="N1701" s="53"/>
      <c r="O1701" s="56"/>
      <c r="P1701" s="44"/>
    </row>
    <row r="1702" spans="1:16" ht="18.75" hidden="1">
      <c r="A1702" s="103">
        <v>1</v>
      </c>
      <c r="B1702" s="207">
        <v>2</v>
      </c>
      <c r="C1702" s="219"/>
      <c r="D1702" s="208"/>
      <c r="E1702" s="103">
        <v>3</v>
      </c>
      <c r="F1702" s="207">
        <v>4</v>
      </c>
      <c r="G1702" s="208"/>
      <c r="H1702" s="207">
        <v>5</v>
      </c>
      <c r="I1702" s="208"/>
      <c r="J1702" s="103">
        <v>6</v>
      </c>
      <c r="K1702" s="53"/>
      <c r="L1702" s="53"/>
      <c r="M1702" s="53"/>
      <c r="N1702" s="53"/>
      <c r="O1702" s="56"/>
      <c r="P1702" s="44"/>
    </row>
    <row r="1703" spans="1:16" ht="85.5" customHeight="1" hidden="1">
      <c r="A1703" s="107">
        <v>1</v>
      </c>
      <c r="B1703" s="204" t="s">
        <v>279</v>
      </c>
      <c r="C1703" s="205"/>
      <c r="D1703" s="206"/>
      <c r="E1703" s="107">
        <v>226</v>
      </c>
      <c r="F1703" s="207">
        <v>1</v>
      </c>
      <c r="G1703" s="208"/>
      <c r="H1703" s="230">
        <f>J1703/F1703</f>
        <v>832400</v>
      </c>
      <c r="I1703" s="231"/>
      <c r="J1703" s="109">
        <v>832400</v>
      </c>
      <c r="K1703" s="53"/>
      <c r="L1703" s="53"/>
      <c r="M1703" s="53"/>
      <c r="N1703" s="53"/>
      <c r="O1703" s="56"/>
      <c r="P1703" s="44"/>
    </row>
    <row r="1704" spans="1:16" ht="18.75" hidden="1">
      <c r="A1704" s="107"/>
      <c r="B1704" s="207" t="s">
        <v>130</v>
      </c>
      <c r="C1704" s="219"/>
      <c r="D1704" s="208"/>
      <c r="E1704" s="107"/>
      <c r="F1704" s="207" t="s">
        <v>172</v>
      </c>
      <c r="G1704" s="208"/>
      <c r="H1704" s="207" t="s">
        <v>172</v>
      </c>
      <c r="I1704" s="208"/>
      <c r="J1704" s="131">
        <f>SUM(J1703:J1703)</f>
        <v>832400</v>
      </c>
      <c r="K1704" s="53"/>
      <c r="L1704" s="53"/>
      <c r="M1704" s="53"/>
      <c r="N1704" s="53"/>
      <c r="O1704" s="56"/>
      <c r="P1704" s="44"/>
    </row>
    <row r="1705" spans="1:16" ht="15.75" customHeight="1" hidden="1">
      <c r="A1705" s="94"/>
      <c r="B1705" s="137"/>
      <c r="C1705" s="137"/>
      <c r="D1705" s="137"/>
      <c r="E1705" s="94"/>
      <c r="F1705" s="138"/>
      <c r="G1705" s="138"/>
      <c r="H1705" s="138"/>
      <c r="I1705" s="138"/>
      <c r="J1705" s="94"/>
      <c r="K1705" s="139"/>
      <c r="L1705" s="53"/>
      <c r="M1705" s="53"/>
      <c r="N1705" s="53"/>
      <c r="O1705" s="56"/>
      <c r="P1705" s="44"/>
    </row>
    <row r="1706" spans="1:16" ht="15.75" customHeight="1" hidden="1">
      <c r="A1706" s="53"/>
      <c r="B1706" s="95" t="s">
        <v>517</v>
      </c>
      <c r="C1706" s="95"/>
      <c r="D1706" s="95"/>
      <c r="E1706" s="95"/>
      <c r="F1706" s="95"/>
      <c r="G1706" s="95"/>
      <c r="H1706" s="95"/>
      <c r="I1706" s="95"/>
      <c r="J1706" s="56"/>
      <c r="K1706" s="139"/>
      <c r="L1706" s="53"/>
      <c r="M1706" s="53"/>
      <c r="N1706" s="53"/>
      <c r="O1706" s="56"/>
      <c r="P1706" s="44"/>
    </row>
    <row r="1707" spans="1:16" ht="15.75" customHeight="1" hidden="1">
      <c r="A1707" s="53"/>
      <c r="B1707" s="53"/>
      <c r="C1707" s="53"/>
      <c r="D1707" s="53"/>
      <c r="E1707" s="53"/>
      <c r="F1707" s="56"/>
      <c r="G1707" s="56"/>
      <c r="H1707" s="56"/>
      <c r="I1707" s="56"/>
      <c r="J1707" s="56"/>
      <c r="K1707" s="139"/>
      <c r="L1707" s="53"/>
      <c r="M1707" s="53"/>
      <c r="N1707" s="53"/>
      <c r="O1707" s="56"/>
      <c r="P1707" s="44"/>
    </row>
    <row r="1708" spans="1:16" ht="105.75" customHeight="1" hidden="1">
      <c r="A1708" s="107" t="s">
        <v>155</v>
      </c>
      <c r="B1708" s="216" t="s">
        <v>156</v>
      </c>
      <c r="C1708" s="217"/>
      <c r="D1708" s="218"/>
      <c r="E1708" s="100" t="s">
        <v>168</v>
      </c>
      <c r="F1708" s="216" t="s">
        <v>369</v>
      </c>
      <c r="G1708" s="218"/>
      <c r="H1708" s="100" t="s">
        <v>177</v>
      </c>
      <c r="I1708" s="53"/>
      <c r="J1708" s="53"/>
      <c r="K1708" s="139"/>
      <c r="L1708" s="53"/>
      <c r="M1708" s="53"/>
      <c r="N1708" s="53"/>
      <c r="O1708" s="56"/>
      <c r="P1708" s="44"/>
    </row>
    <row r="1709" spans="1:16" ht="15.75" customHeight="1" hidden="1">
      <c r="A1709" s="103">
        <v>1</v>
      </c>
      <c r="B1709" s="207">
        <v>2</v>
      </c>
      <c r="C1709" s="219"/>
      <c r="D1709" s="208"/>
      <c r="E1709" s="103">
        <v>3</v>
      </c>
      <c r="F1709" s="207">
        <v>4</v>
      </c>
      <c r="G1709" s="208"/>
      <c r="H1709" s="103">
        <v>5</v>
      </c>
      <c r="I1709" s="53"/>
      <c r="J1709" s="53"/>
      <c r="K1709" s="139"/>
      <c r="L1709" s="53"/>
      <c r="M1709" s="53"/>
      <c r="N1709" s="53"/>
      <c r="O1709" s="56"/>
      <c r="P1709" s="44"/>
    </row>
    <row r="1710" spans="1:16" ht="87.75" customHeight="1" hidden="1">
      <c r="A1710" s="107">
        <v>1</v>
      </c>
      <c r="B1710" s="204" t="s">
        <v>324</v>
      </c>
      <c r="C1710" s="205"/>
      <c r="D1710" s="206"/>
      <c r="E1710" s="107">
        <v>226</v>
      </c>
      <c r="F1710" s="207">
        <v>1</v>
      </c>
      <c r="G1710" s="208"/>
      <c r="H1710" s="109">
        <v>254953.46</v>
      </c>
      <c r="I1710" s="53"/>
      <c r="J1710" s="53"/>
      <c r="K1710" s="139"/>
      <c r="L1710" s="53"/>
      <c r="M1710" s="53"/>
      <c r="N1710" s="53"/>
      <c r="O1710" s="56"/>
      <c r="P1710" s="44"/>
    </row>
    <row r="1711" spans="1:16" ht="29.25" customHeight="1" hidden="1">
      <c r="A1711" s="107"/>
      <c r="B1711" s="207" t="s">
        <v>130</v>
      </c>
      <c r="C1711" s="219"/>
      <c r="D1711" s="208"/>
      <c r="E1711" s="107"/>
      <c r="F1711" s="207" t="s">
        <v>172</v>
      </c>
      <c r="G1711" s="208"/>
      <c r="H1711" s="131">
        <f>SUM(H1710:H1710)</f>
        <v>254953.46</v>
      </c>
      <c r="I1711" s="53"/>
      <c r="J1711" s="53"/>
      <c r="K1711" s="139"/>
      <c r="L1711" s="53"/>
      <c r="M1711" s="53"/>
      <c r="N1711" s="53"/>
      <c r="O1711" s="56"/>
      <c r="P1711" s="44"/>
    </row>
    <row r="1712" spans="1:16" ht="15.75" customHeight="1" hidden="1">
      <c r="A1712" s="94"/>
      <c r="B1712" s="137"/>
      <c r="C1712" s="137"/>
      <c r="D1712" s="137"/>
      <c r="E1712" s="94"/>
      <c r="F1712" s="138"/>
      <c r="G1712" s="138"/>
      <c r="H1712" s="138"/>
      <c r="I1712" s="138"/>
      <c r="J1712" s="94"/>
      <c r="K1712" s="139"/>
      <c r="L1712" s="53"/>
      <c r="M1712" s="53"/>
      <c r="N1712" s="53"/>
      <c r="O1712" s="56"/>
      <c r="P1712" s="44"/>
    </row>
    <row r="1713" spans="1:16" ht="18.75" hidden="1">
      <c r="A1713" s="35"/>
      <c r="B1713" s="53" t="s">
        <v>518</v>
      </c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4"/>
      <c r="P1713" s="44"/>
    </row>
    <row r="1714" spans="1:16" ht="18.75" hidden="1">
      <c r="A1714" s="35"/>
      <c r="B1714" s="53" t="s">
        <v>179</v>
      </c>
      <c r="C1714" s="53"/>
      <c r="D1714" s="140">
        <v>244</v>
      </c>
      <c r="E1714" s="140"/>
      <c r="F1714" s="140"/>
      <c r="G1714" s="56"/>
      <c r="H1714" s="53"/>
      <c r="I1714" s="53"/>
      <c r="J1714" s="53"/>
      <c r="K1714" s="53"/>
      <c r="L1714" s="53"/>
      <c r="M1714" s="53"/>
      <c r="N1714" s="53"/>
      <c r="O1714" s="54"/>
      <c r="P1714" s="44"/>
    </row>
    <row r="1715" spans="1:16" ht="18.75" hidden="1">
      <c r="A1715" s="35"/>
      <c r="B1715" s="53" t="s">
        <v>153</v>
      </c>
      <c r="C1715" s="53"/>
      <c r="D1715" s="35"/>
      <c r="E1715" s="141" t="s">
        <v>222</v>
      </c>
      <c r="F1715" s="142"/>
      <c r="G1715" s="56"/>
      <c r="H1715" s="53"/>
      <c r="I1715" s="53"/>
      <c r="J1715" s="53"/>
      <c r="K1715" s="53"/>
      <c r="L1715" s="53"/>
      <c r="M1715" s="53"/>
      <c r="N1715" s="53"/>
      <c r="O1715" s="54"/>
      <c r="P1715" s="44"/>
    </row>
    <row r="1716" spans="1:16" ht="18.75" hidden="1">
      <c r="A1716" s="35"/>
      <c r="B1716" s="53"/>
      <c r="C1716" s="53"/>
      <c r="D1716" s="35"/>
      <c r="E1716" s="94"/>
      <c r="F1716" s="56"/>
      <c r="G1716" s="56"/>
      <c r="H1716" s="53"/>
      <c r="I1716" s="53"/>
      <c r="J1716" s="53"/>
      <c r="K1716" s="53"/>
      <c r="L1716" s="53"/>
      <c r="M1716" s="53"/>
      <c r="N1716" s="53"/>
      <c r="O1716" s="54"/>
      <c r="P1716" s="44"/>
    </row>
    <row r="1717" spans="1:16" ht="18.75" hidden="1">
      <c r="A1717" s="53"/>
      <c r="B1717" s="95" t="s">
        <v>519</v>
      </c>
      <c r="C1717" s="95"/>
      <c r="D1717" s="95"/>
      <c r="E1717" s="95"/>
      <c r="F1717" s="95"/>
      <c r="G1717" s="95"/>
      <c r="H1717" s="95"/>
      <c r="I1717" s="95"/>
      <c r="J1717" s="56"/>
      <c r="K1717" s="53"/>
      <c r="L1717" s="53"/>
      <c r="M1717" s="53"/>
      <c r="N1717" s="53"/>
      <c r="O1717" s="56"/>
      <c r="P1717" s="44"/>
    </row>
    <row r="1718" spans="1:16" ht="18.75" hidden="1">
      <c r="A1718" s="53"/>
      <c r="B1718" s="53"/>
      <c r="C1718" s="53"/>
      <c r="D1718" s="53"/>
      <c r="E1718" s="53"/>
      <c r="F1718" s="56"/>
      <c r="G1718" s="56"/>
      <c r="H1718" s="56"/>
      <c r="I1718" s="56"/>
      <c r="J1718" s="56"/>
      <c r="K1718" s="53"/>
      <c r="L1718" s="53"/>
      <c r="M1718" s="53"/>
      <c r="N1718" s="53"/>
      <c r="O1718" s="56"/>
      <c r="P1718" s="44"/>
    </row>
    <row r="1719" spans="1:16" ht="93.75" hidden="1">
      <c r="A1719" s="107" t="s">
        <v>155</v>
      </c>
      <c r="B1719" s="216" t="s">
        <v>156</v>
      </c>
      <c r="C1719" s="217"/>
      <c r="D1719" s="218"/>
      <c r="E1719" s="100" t="s">
        <v>168</v>
      </c>
      <c r="F1719" s="216" t="s">
        <v>249</v>
      </c>
      <c r="G1719" s="218"/>
      <c r="H1719" s="216" t="s">
        <v>250</v>
      </c>
      <c r="I1719" s="218"/>
      <c r="J1719" s="100" t="s">
        <v>251</v>
      </c>
      <c r="K1719" s="100" t="s">
        <v>177</v>
      </c>
      <c r="L1719" s="53"/>
      <c r="M1719" s="53"/>
      <c r="N1719" s="53"/>
      <c r="O1719" s="56"/>
      <c r="P1719" s="44"/>
    </row>
    <row r="1720" spans="1:16" ht="18.75" hidden="1">
      <c r="A1720" s="103">
        <v>1</v>
      </c>
      <c r="B1720" s="207">
        <v>2</v>
      </c>
      <c r="C1720" s="219"/>
      <c r="D1720" s="208"/>
      <c r="E1720" s="103">
        <v>3</v>
      </c>
      <c r="F1720" s="207">
        <v>4</v>
      </c>
      <c r="G1720" s="208"/>
      <c r="H1720" s="207">
        <v>5</v>
      </c>
      <c r="I1720" s="208"/>
      <c r="J1720" s="103">
        <v>6</v>
      </c>
      <c r="K1720" s="103">
        <v>7</v>
      </c>
      <c r="L1720" s="53"/>
      <c r="M1720" s="53"/>
      <c r="N1720" s="53"/>
      <c r="O1720" s="56"/>
      <c r="P1720" s="44"/>
    </row>
    <row r="1721" spans="1:16" ht="101.25" customHeight="1" hidden="1">
      <c r="A1721" s="107">
        <v>1</v>
      </c>
      <c r="B1721" s="204" t="s">
        <v>252</v>
      </c>
      <c r="C1721" s="205"/>
      <c r="D1721" s="206"/>
      <c r="E1721" s="107">
        <v>226</v>
      </c>
      <c r="F1721" s="207">
        <v>527</v>
      </c>
      <c r="G1721" s="208"/>
      <c r="H1721" s="207">
        <v>6</v>
      </c>
      <c r="I1721" s="208"/>
      <c r="J1721" s="109">
        <v>164</v>
      </c>
      <c r="K1721" s="109">
        <v>238200</v>
      </c>
      <c r="L1721" s="53"/>
      <c r="M1721" s="53"/>
      <c r="N1721" s="53"/>
      <c r="O1721" s="56"/>
      <c r="P1721" s="44"/>
    </row>
    <row r="1722" spans="1:16" ht="18.75" hidden="1">
      <c r="A1722" s="107"/>
      <c r="B1722" s="207" t="s">
        <v>130</v>
      </c>
      <c r="C1722" s="219"/>
      <c r="D1722" s="208"/>
      <c r="E1722" s="107"/>
      <c r="F1722" s="207" t="s">
        <v>172</v>
      </c>
      <c r="G1722" s="208"/>
      <c r="H1722" s="207" t="s">
        <v>172</v>
      </c>
      <c r="I1722" s="208"/>
      <c r="J1722" s="107" t="s">
        <v>172</v>
      </c>
      <c r="K1722" s="131">
        <f>SUM(K1721:K1721)</f>
        <v>238200</v>
      </c>
      <c r="L1722" s="53"/>
      <c r="M1722" s="53"/>
      <c r="N1722" s="53"/>
      <c r="O1722" s="56"/>
      <c r="P1722" s="44"/>
    </row>
    <row r="1723" spans="1:16" ht="18.75" hidden="1">
      <c r="A1723" s="35"/>
      <c r="B1723" s="53"/>
      <c r="C1723" s="53"/>
      <c r="D1723" s="35"/>
      <c r="E1723" s="94"/>
      <c r="F1723" s="56"/>
      <c r="G1723" s="56"/>
      <c r="H1723" s="53"/>
      <c r="I1723" s="53"/>
      <c r="J1723" s="53"/>
      <c r="K1723" s="53"/>
      <c r="L1723" s="53"/>
      <c r="M1723" s="53"/>
      <c r="N1723" s="53"/>
      <c r="O1723" s="54"/>
      <c r="P1723" s="44"/>
    </row>
    <row r="1724" spans="1:16" ht="18.75" hidden="1">
      <c r="A1724" s="53"/>
      <c r="B1724" s="95" t="s">
        <v>520</v>
      </c>
      <c r="C1724" s="95"/>
      <c r="D1724" s="95"/>
      <c r="E1724" s="95"/>
      <c r="F1724" s="95"/>
      <c r="G1724" s="95"/>
      <c r="H1724" s="95"/>
      <c r="I1724" s="95"/>
      <c r="J1724" s="56"/>
      <c r="K1724" s="53"/>
      <c r="L1724" s="53"/>
      <c r="M1724" s="53"/>
      <c r="N1724" s="53"/>
      <c r="O1724" s="54"/>
      <c r="P1724" s="44"/>
    </row>
    <row r="1725" spans="1:16" ht="18.75" hidden="1">
      <c r="A1725" s="53"/>
      <c r="B1725" s="53"/>
      <c r="C1725" s="53"/>
      <c r="D1725" s="53"/>
      <c r="E1725" s="53"/>
      <c r="F1725" s="56"/>
      <c r="G1725" s="56"/>
      <c r="H1725" s="56"/>
      <c r="I1725" s="56"/>
      <c r="J1725" s="56"/>
      <c r="K1725" s="53"/>
      <c r="L1725" s="53"/>
      <c r="M1725" s="53"/>
      <c r="N1725" s="53"/>
      <c r="O1725" s="54"/>
      <c r="P1725" s="44"/>
    </row>
    <row r="1726" spans="1:16" ht="93.75" hidden="1">
      <c r="A1726" s="107" t="s">
        <v>155</v>
      </c>
      <c r="B1726" s="216" t="s">
        <v>156</v>
      </c>
      <c r="C1726" s="217"/>
      <c r="D1726" s="218"/>
      <c r="E1726" s="100" t="s">
        <v>168</v>
      </c>
      <c r="F1726" s="216" t="s">
        <v>369</v>
      </c>
      <c r="G1726" s="218"/>
      <c r="H1726" s="100" t="s">
        <v>177</v>
      </c>
      <c r="I1726" s="53"/>
      <c r="J1726" s="53"/>
      <c r="K1726" s="53"/>
      <c r="L1726" s="54"/>
      <c r="M1726" s="44"/>
      <c r="N1726" s="143"/>
      <c r="O1726" s="143"/>
      <c r="P1726" s="44"/>
    </row>
    <row r="1727" spans="1:16" ht="18.75" hidden="1">
      <c r="A1727" s="103">
        <v>1</v>
      </c>
      <c r="B1727" s="207">
        <v>2</v>
      </c>
      <c r="C1727" s="219"/>
      <c r="D1727" s="208"/>
      <c r="E1727" s="103">
        <v>3</v>
      </c>
      <c r="F1727" s="207">
        <v>4</v>
      </c>
      <c r="G1727" s="208"/>
      <c r="H1727" s="103">
        <v>5</v>
      </c>
      <c r="I1727" s="53"/>
      <c r="J1727" s="53"/>
      <c r="K1727" s="53"/>
      <c r="L1727" s="54"/>
      <c r="M1727" s="44"/>
      <c r="N1727" s="143"/>
      <c r="O1727" s="143"/>
      <c r="P1727" s="44"/>
    </row>
    <row r="1728" spans="1:16" ht="102.75" customHeight="1" hidden="1">
      <c r="A1728" s="107">
        <v>1</v>
      </c>
      <c r="B1728" s="204" t="s">
        <v>253</v>
      </c>
      <c r="C1728" s="205"/>
      <c r="D1728" s="206"/>
      <c r="E1728" s="107">
        <v>226</v>
      </c>
      <c r="F1728" s="207">
        <v>464</v>
      </c>
      <c r="G1728" s="208"/>
      <c r="H1728" s="109">
        <v>151400</v>
      </c>
      <c r="I1728" s="53"/>
      <c r="J1728" s="53"/>
      <c r="K1728" s="53"/>
      <c r="L1728" s="54"/>
      <c r="M1728" s="44"/>
      <c r="N1728" s="143"/>
      <c r="O1728" s="143"/>
      <c r="P1728" s="44"/>
    </row>
    <row r="1729" spans="1:16" ht="18.75" hidden="1">
      <c r="A1729" s="107"/>
      <c r="B1729" s="207" t="s">
        <v>130</v>
      </c>
      <c r="C1729" s="219"/>
      <c r="D1729" s="208"/>
      <c r="E1729" s="107"/>
      <c r="F1729" s="207" t="s">
        <v>172</v>
      </c>
      <c r="G1729" s="208"/>
      <c r="H1729" s="131">
        <f>SUM(H1728:H1728)</f>
        <v>151400</v>
      </c>
      <c r="I1729" s="53"/>
      <c r="J1729" s="53"/>
      <c r="K1729" s="53"/>
      <c r="L1729" s="54"/>
      <c r="M1729" s="44"/>
      <c r="N1729" s="143"/>
      <c r="O1729" s="143"/>
      <c r="P1729" s="44"/>
    </row>
    <row r="1730" spans="1:16" ht="18.75" hidden="1">
      <c r="A1730" s="35"/>
      <c r="B1730" s="53"/>
      <c r="C1730" s="53"/>
      <c r="D1730" s="35"/>
      <c r="E1730" s="94"/>
      <c r="F1730" s="56"/>
      <c r="G1730" s="56"/>
      <c r="H1730" s="53"/>
      <c r="I1730" s="53"/>
      <c r="J1730" s="53"/>
      <c r="K1730" s="53"/>
      <c r="L1730" s="53"/>
      <c r="M1730" s="53"/>
      <c r="N1730" s="53"/>
      <c r="O1730" s="54"/>
      <c r="P1730" s="44"/>
    </row>
    <row r="1731" spans="1:16" ht="18.75" hidden="1">
      <c r="A1731" s="53"/>
      <c r="B1731" s="95" t="s">
        <v>521</v>
      </c>
      <c r="C1731" s="95"/>
      <c r="D1731" s="95"/>
      <c r="E1731" s="95"/>
      <c r="F1731" s="95"/>
      <c r="G1731" s="95"/>
      <c r="H1731" s="95"/>
      <c r="I1731" s="95"/>
      <c r="J1731" s="56"/>
      <c r="K1731" s="53"/>
      <c r="L1731" s="53"/>
      <c r="M1731" s="53"/>
      <c r="N1731" s="53"/>
      <c r="O1731" s="54"/>
      <c r="P1731" s="44"/>
    </row>
    <row r="1732" spans="1:16" ht="18.75" hidden="1">
      <c r="A1732" s="53"/>
      <c r="B1732" s="53"/>
      <c r="C1732" s="53"/>
      <c r="D1732" s="53"/>
      <c r="E1732" s="53"/>
      <c r="F1732" s="56"/>
      <c r="G1732" s="56"/>
      <c r="H1732" s="56"/>
      <c r="I1732" s="56"/>
      <c r="J1732" s="56"/>
      <c r="K1732" s="53"/>
      <c r="L1732" s="53"/>
      <c r="M1732" s="53"/>
      <c r="N1732" s="53"/>
      <c r="O1732" s="54"/>
      <c r="P1732" s="44"/>
    </row>
    <row r="1733" spans="1:16" ht="93.75" hidden="1">
      <c r="A1733" s="107" t="s">
        <v>155</v>
      </c>
      <c r="B1733" s="216" t="s">
        <v>156</v>
      </c>
      <c r="C1733" s="217"/>
      <c r="D1733" s="218"/>
      <c r="E1733" s="100" t="s">
        <v>168</v>
      </c>
      <c r="F1733" s="216" t="s">
        <v>369</v>
      </c>
      <c r="G1733" s="218"/>
      <c r="H1733" s="100" t="s">
        <v>177</v>
      </c>
      <c r="I1733" s="53"/>
      <c r="J1733" s="53"/>
      <c r="K1733" s="53"/>
      <c r="L1733" s="53"/>
      <c r="M1733" s="53"/>
      <c r="N1733" s="53"/>
      <c r="O1733" s="54"/>
      <c r="P1733" s="44"/>
    </row>
    <row r="1734" spans="1:16" ht="18.75" hidden="1">
      <c r="A1734" s="103">
        <v>1</v>
      </c>
      <c r="B1734" s="207">
        <v>2</v>
      </c>
      <c r="C1734" s="219"/>
      <c r="D1734" s="208"/>
      <c r="E1734" s="103">
        <v>3</v>
      </c>
      <c r="F1734" s="207">
        <v>4</v>
      </c>
      <c r="G1734" s="208"/>
      <c r="H1734" s="103">
        <v>5</v>
      </c>
      <c r="I1734" s="53"/>
      <c r="J1734" s="53"/>
      <c r="K1734" s="53"/>
      <c r="L1734" s="53"/>
      <c r="M1734" s="53"/>
      <c r="N1734" s="53"/>
      <c r="O1734" s="54"/>
      <c r="P1734" s="44"/>
    </row>
    <row r="1735" spans="1:16" ht="78" customHeight="1" hidden="1">
      <c r="A1735" s="107">
        <v>1</v>
      </c>
      <c r="B1735" s="204" t="s">
        <v>346</v>
      </c>
      <c r="C1735" s="205"/>
      <c r="D1735" s="206"/>
      <c r="E1735" s="107">
        <v>226</v>
      </c>
      <c r="F1735" s="207">
        <v>1</v>
      </c>
      <c r="G1735" s="208"/>
      <c r="H1735" s="109">
        <v>344400</v>
      </c>
      <c r="I1735" s="53"/>
      <c r="J1735" s="53"/>
      <c r="K1735" s="53"/>
      <c r="L1735" s="53"/>
      <c r="M1735" s="53"/>
      <c r="N1735" s="53"/>
      <c r="O1735" s="54"/>
      <c r="P1735" s="44"/>
    </row>
    <row r="1736" spans="1:16" ht="112.5" customHeight="1" hidden="1">
      <c r="A1736" s="107">
        <v>2</v>
      </c>
      <c r="B1736" s="204" t="s">
        <v>370</v>
      </c>
      <c r="C1736" s="205"/>
      <c r="D1736" s="206"/>
      <c r="E1736" s="107">
        <v>226</v>
      </c>
      <c r="F1736" s="207">
        <v>1</v>
      </c>
      <c r="G1736" s="208"/>
      <c r="H1736" s="109">
        <v>337066</v>
      </c>
      <c r="I1736" s="53"/>
      <c r="J1736" s="53"/>
      <c r="K1736" s="53"/>
      <c r="L1736" s="53"/>
      <c r="M1736" s="53"/>
      <c r="N1736" s="53"/>
      <c r="O1736" s="54"/>
      <c r="P1736" s="44"/>
    </row>
    <row r="1737" spans="1:16" ht="18.75" hidden="1">
      <c r="A1737" s="107"/>
      <c r="B1737" s="207" t="s">
        <v>130</v>
      </c>
      <c r="C1737" s="219"/>
      <c r="D1737" s="208"/>
      <c r="E1737" s="107"/>
      <c r="F1737" s="207" t="s">
        <v>172</v>
      </c>
      <c r="G1737" s="208"/>
      <c r="H1737" s="131">
        <f>SUM(H1735:H1736)</f>
        <v>681466</v>
      </c>
      <c r="I1737" s="53"/>
      <c r="J1737" s="53"/>
      <c r="K1737" s="53"/>
      <c r="L1737" s="53"/>
      <c r="M1737" s="53"/>
      <c r="N1737" s="53"/>
      <c r="O1737" s="54"/>
      <c r="P1737" s="44"/>
    </row>
    <row r="1738" spans="1:16" ht="18.75" hidden="1">
      <c r="A1738" s="35"/>
      <c r="B1738" s="53"/>
      <c r="C1738" s="53"/>
      <c r="D1738" s="35"/>
      <c r="E1738" s="94"/>
      <c r="F1738" s="56"/>
      <c r="G1738" s="56"/>
      <c r="H1738" s="53"/>
      <c r="I1738" s="53"/>
      <c r="J1738" s="53"/>
      <c r="K1738" s="53"/>
      <c r="L1738" s="53"/>
      <c r="M1738" s="53"/>
      <c r="N1738" s="53"/>
      <c r="O1738" s="54"/>
      <c r="P1738" s="44"/>
    </row>
    <row r="1739" spans="1:16" ht="18.75" hidden="1">
      <c r="A1739" s="53"/>
      <c r="B1739" s="57" t="s">
        <v>522</v>
      </c>
      <c r="C1739" s="58"/>
      <c r="D1739" s="58"/>
      <c r="E1739" s="58"/>
      <c r="F1739" s="58"/>
      <c r="G1739" s="58"/>
      <c r="H1739" s="58"/>
      <c r="I1739" s="58"/>
      <c r="J1739" s="58"/>
      <c r="K1739" s="58"/>
      <c r="L1739" s="58"/>
      <c r="M1739" s="58"/>
      <c r="N1739" s="53"/>
      <c r="O1739" s="54"/>
      <c r="P1739" s="44"/>
    </row>
    <row r="1740" spans="1:16" ht="18.75" hidden="1">
      <c r="A1740" s="58"/>
      <c r="B1740" s="58"/>
      <c r="C1740" s="58"/>
      <c r="D1740" s="58"/>
      <c r="E1740" s="58"/>
      <c r="F1740" s="58"/>
      <c r="G1740" s="58"/>
      <c r="H1740" s="58"/>
      <c r="I1740" s="58"/>
      <c r="J1740" s="58"/>
      <c r="K1740" s="58"/>
      <c r="L1740" s="58"/>
      <c r="M1740" s="58"/>
      <c r="N1740" s="53"/>
      <c r="O1740" s="54"/>
      <c r="P1740" s="44"/>
    </row>
    <row r="1741" spans="1:16" ht="56.25" customHeight="1" hidden="1">
      <c r="A1741" s="49" t="s">
        <v>155</v>
      </c>
      <c r="B1741" s="227" t="s">
        <v>0</v>
      </c>
      <c r="C1741" s="229"/>
      <c r="D1741" s="228"/>
      <c r="E1741" s="227" t="s">
        <v>168</v>
      </c>
      <c r="F1741" s="228"/>
      <c r="G1741" s="227" t="s">
        <v>249</v>
      </c>
      <c r="H1741" s="228"/>
      <c r="I1741" s="61" t="s">
        <v>190</v>
      </c>
      <c r="J1741" s="227" t="s">
        <v>191</v>
      </c>
      <c r="K1741" s="228"/>
      <c r="L1741" s="53"/>
      <c r="M1741" s="53"/>
      <c r="N1741" s="53"/>
      <c r="O1741" s="54"/>
      <c r="P1741" s="44"/>
    </row>
    <row r="1742" spans="1:16" ht="18.75" hidden="1">
      <c r="A1742" s="187">
        <v>1</v>
      </c>
      <c r="B1742" s="201">
        <v>2</v>
      </c>
      <c r="C1742" s="226"/>
      <c r="D1742" s="202"/>
      <c r="E1742" s="201">
        <v>3</v>
      </c>
      <c r="F1742" s="202"/>
      <c r="G1742" s="201">
        <v>4</v>
      </c>
      <c r="H1742" s="202"/>
      <c r="I1742" s="187">
        <v>5</v>
      </c>
      <c r="J1742" s="201">
        <v>6</v>
      </c>
      <c r="K1742" s="202"/>
      <c r="L1742" s="193"/>
      <c r="M1742" s="193"/>
      <c r="N1742" s="193"/>
      <c r="O1742" s="54"/>
      <c r="P1742" s="44"/>
    </row>
    <row r="1743" spans="1:16" ht="136.5" customHeight="1" hidden="1">
      <c r="A1743" s="49">
        <v>1</v>
      </c>
      <c r="B1743" s="198" t="s">
        <v>255</v>
      </c>
      <c r="C1743" s="199"/>
      <c r="D1743" s="200"/>
      <c r="E1743" s="201">
        <v>342</v>
      </c>
      <c r="F1743" s="202"/>
      <c r="G1743" s="201">
        <v>1120</v>
      </c>
      <c r="H1743" s="202"/>
      <c r="I1743" s="52">
        <v>13.5</v>
      </c>
      <c r="J1743" s="209">
        <v>46300</v>
      </c>
      <c r="K1743" s="210"/>
      <c r="L1743" s="53"/>
      <c r="M1743" s="53"/>
      <c r="N1743" s="53"/>
      <c r="O1743" s="54"/>
      <c r="P1743" s="44"/>
    </row>
    <row r="1744" spans="1:16" ht="18.75" hidden="1">
      <c r="A1744" s="49"/>
      <c r="B1744" s="201" t="s">
        <v>130</v>
      </c>
      <c r="C1744" s="226"/>
      <c r="D1744" s="202"/>
      <c r="E1744" s="201"/>
      <c r="F1744" s="202"/>
      <c r="G1744" s="201"/>
      <c r="H1744" s="202"/>
      <c r="I1744" s="49" t="s">
        <v>6</v>
      </c>
      <c r="J1744" s="209">
        <f>SUM(J1743:J1743)</f>
        <v>46300</v>
      </c>
      <c r="K1744" s="210"/>
      <c r="L1744" s="53"/>
      <c r="M1744" s="53"/>
      <c r="N1744" s="53"/>
      <c r="O1744" s="54"/>
      <c r="P1744" s="44"/>
    </row>
    <row r="1745" spans="1:16" ht="18.75" hidden="1">
      <c r="A1745" s="56"/>
      <c r="B1745" s="55"/>
      <c r="C1745" s="55"/>
      <c r="D1745" s="55"/>
      <c r="E1745" s="55"/>
      <c r="F1745" s="55"/>
      <c r="G1745" s="55"/>
      <c r="H1745" s="55"/>
      <c r="I1745" s="56"/>
      <c r="J1745" s="65"/>
      <c r="K1745" s="65"/>
      <c r="L1745" s="53"/>
      <c r="M1745" s="53"/>
      <c r="N1745" s="53"/>
      <c r="O1745" s="54"/>
      <c r="P1745" s="44"/>
    </row>
    <row r="1746" spans="1:16" ht="18.75" hidden="1">
      <c r="A1746" s="35"/>
      <c r="B1746" s="53" t="s">
        <v>523</v>
      </c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4"/>
      <c r="P1746" s="44"/>
    </row>
    <row r="1747" spans="1:16" ht="18.75" hidden="1">
      <c r="A1747" s="35"/>
      <c r="B1747" s="53" t="s">
        <v>179</v>
      </c>
      <c r="C1747" s="53"/>
      <c r="D1747" s="140">
        <v>321</v>
      </c>
      <c r="E1747" s="140"/>
      <c r="F1747" s="140"/>
      <c r="G1747" s="56"/>
      <c r="H1747" s="53"/>
      <c r="I1747" s="53"/>
      <c r="J1747" s="53"/>
      <c r="K1747" s="53"/>
      <c r="L1747" s="53"/>
      <c r="M1747" s="53"/>
      <c r="N1747" s="53"/>
      <c r="O1747" s="54"/>
      <c r="P1747" s="44"/>
    </row>
    <row r="1748" spans="1:16" ht="18.75" hidden="1">
      <c r="A1748" s="35"/>
      <c r="B1748" s="53" t="s">
        <v>153</v>
      </c>
      <c r="C1748" s="53"/>
      <c r="D1748" s="35"/>
      <c r="E1748" s="141" t="s">
        <v>222</v>
      </c>
      <c r="F1748" s="142"/>
      <c r="G1748" s="56"/>
      <c r="H1748" s="53"/>
      <c r="I1748" s="53"/>
      <c r="J1748" s="53"/>
      <c r="K1748" s="53"/>
      <c r="L1748" s="53"/>
      <c r="M1748" s="53"/>
      <c r="N1748" s="53"/>
      <c r="O1748" s="54"/>
      <c r="P1748" s="44"/>
    </row>
    <row r="1749" spans="1:16" ht="18.75" hidden="1">
      <c r="A1749" s="35"/>
      <c r="B1749" s="53"/>
      <c r="C1749" s="53"/>
      <c r="D1749" s="35"/>
      <c r="E1749" s="94"/>
      <c r="F1749" s="56"/>
      <c r="G1749" s="56"/>
      <c r="H1749" s="53"/>
      <c r="I1749" s="53"/>
      <c r="J1749" s="53"/>
      <c r="K1749" s="53"/>
      <c r="L1749" s="53"/>
      <c r="M1749" s="53"/>
      <c r="N1749" s="53"/>
      <c r="O1749" s="54"/>
      <c r="P1749" s="44"/>
    </row>
    <row r="1750" spans="1:16" ht="18.75" hidden="1">
      <c r="A1750" s="35"/>
      <c r="B1750" s="57" t="s">
        <v>524</v>
      </c>
      <c r="C1750" s="58"/>
      <c r="D1750" s="58"/>
      <c r="E1750" s="58"/>
      <c r="F1750" s="58"/>
      <c r="G1750" s="58"/>
      <c r="H1750" s="58"/>
      <c r="I1750" s="58"/>
      <c r="J1750" s="58"/>
      <c r="K1750" s="58"/>
      <c r="L1750" s="53"/>
      <c r="M1750" s="53"/>
      <c r="N1750" s="53"/>
      <c r="O1750" s="54"/>
      <c r="P1750" s="44"/>
    </row>
    <row r="1751" spans="1:16" ht="18.75" hidden="1">
      <c r="A1751" s="35"/>
      <c r="B1751" s="53"/>
      <c r="C1751" s="53"/>
      <c r="D1751" s="35"/>
      <c r="E1751" s="94"/>
      <c r="F1751" s="56"/>
      <c r="G1751" s="56"/>
      <c r="H1751" s="53"/>
      <c r="I1751" s="53"/>
      <c r="J1751" s="53"/>
      <c r="K1751" s="53"/>
      <c r="L1751" s="53"/>
      <c r="M1751" s="53"/>
      <c r="N1751" s="53"/>
      <c r="O1751" s="54"/>
      <c r="P1751" s="44"/>
    </row>
    <row r="1752" spans="1:16" ht="93.75" hidden="1">
      <c r="A1752" s="107" t="s">
        <v>155</v>
      </c>
      <c r="B1752" s="216" t="s">
        <v>156</v>
      </c>
      <c r="C1752" s="217"/>
      <c r="D1752" s="218"/>
      <c r="E1752" s="100" t="s">
        <v>168</v>
      </c>
      <c r="F1752" s="216" t="s">
        <v>369</v>
      </c>
      <c r="G1752" s="218"/>
      <c r="H1752" s="100" t="s">
        <v>177</v>
      </c>
      <c r="I1752" s="53"/>
      <c r="J1752" s="53"/>
      <c r="K1752" s="53"/>
      <c r="L1752" s="53"/>
      <c r="M1752" s="54"/>
      <c r="N1752" s="44"/>
      <c r="O1752" s="54"/>
      <c r="P1752" s="44"/>
    </row>
    <row r="1753" spans="1:16" ht="18.75" hidden="1">
      <c r="A1753" s="103">
        <v>1</v>
      </c>
      <c r="B1753" s="207">
        <v>2</v>
      </c>
      <c r="C1753" s="219"/>
      <c r="D1753" s="208"/>
      <c r="E1753" s="103">
        <v>3</v>
      </c>
      <c r="F1753" s="207">
        <v>4</v>
      </c>
      <c r="G1753" s="208"/>
      <c r="H1753" s="103">
        <v>5</v>
      </c>
      <c r="I1753" s="53"/>
      <c r="J1753" s="53"/>
      <c r="K1753" s="53"/>
      <c r="L1753" s="53"/>
      <c r="M1753" s="54"/>
      <c r="N1753" s="44"/>
      <c r="O1753" s="54"/>
      <c r="P1753" s="44"/>
    </row>
    <row r="1754" spans="1:16" ht="117.75" customHeight="1" hidden="1">
      <c r="A1754" s="107">
        <v>1</v>
      </c>
      <c r="B1754" s="204" t="s">
        <v>368</v>
      </c>
      <c r="C1754" s="205"/>
      <c r="D1754" s="206"/>
      <c r="E1754" s="107">
        <v>262</v>
      </c>
      <c r="F1754" s="207">
        <v>1</v>
      </c>
      <c r="G1754" s="208"/>
      <c r="H1754" s="109">
        <v>84500</v>
      </c>
      <c r="I1754" s="53"/>
      <c r="J1754" s="53"/>
      <c r="K1754" s="53"/>
      <c r="L1754" s="53"/>
      <c r="M1754" s="54"/>
      <c r="N1754" s="44"/>
      <c r="O1754" s="54"/>
      <c r="P1754" s="44"/>
    </row>
    <row r="1755" spans="1:16" ht="18.75" hidden="1">
      <c r="A1755" s="107"/>
      <c r="B1755" s="207" t="s">
        <v>130</v>
      </c>
      <c r="C1755" s="219"/>
      <c r="D1755" s="208"/>
      <c r="E1755" s="107"/>
      <c r="F1755" s="207" t="s">
        <v>172</v>
      </c>
      <c r="G1755" s="208"/>
      <c r="H1755" s="131">
        <f>SUM(H1754:H1754)</f>
        <v>84500</v>
      </c>
      <c r="I1755" s="53"/>
      <c r="J1755" s="53"/>
      <c r="K1755" s="53"/>
      <c r="L1755" s="53"/>
      <c r="M1755" s="54"/>
      <c r="N1755" s="44"/>
      <c r="O1755" s="54"/>
      <c r="P1755" s="44"/>
    </row>
    <row r="1756" spans="1:16" ht="18.75" hidden="1">
      <c r="A1756" s="56"/>
      <c r="B1756" s="55"/>
      <c r="C1756" s="55"/>
      <c r="D1756" s="55"/>
      <c r="E1756" s="55"/>
      <c r="F1756" s="55"/>
      <c r="G1756" s="55"/>
      <c r="H1756" s="55"/>
      <c r="I1756" s="56"/>
      <c r="J1756" s="65"/>
      <c r="K1756" s="65"/>
      <c r="L1756" s="53"/>
      <c r="M1756" s="53"/>
      <c r="N1756" s="53"/>
      <c r="O1756" s="54"/>
      <c r="P1756" s="44"/>
    </row>
    <row r="1757" spans="1:16" ht="18.75" hidden="1">
      <c r="A1757" s="56"/>
      <c r="B1757" s="55"/>
      <c r="C1757" s="55"/>
      <c r="D1757" s="55"/>
      <c r="E1757" s="55"/>
      <c r="F1757" s="55"/>
      <c r="G1757" s="55"/>
      <c r="H1757" s="55"/>
      <c r="I1757" s="56"/>
      <c r="J1757" s="65"/>
      <c r="K1757" s="65"/>
      <c r="L1757" s="53"/>
      <c r="M1757" s="53"/>
      <c r="N1757" s="53"/>
      <c r="O1757" s="54"/>
      <c r="P1757" s="44"/>
    </row>
    <row r="1758" spans="1:16" ht="18.75" hidden="1">
      <c r="A1758" s="56"/>
      <c r="B1758" s="55"/>
      <c r="C1758" s="55"/>
      <c r="D1758" s="55"/>
      <c r="E1758" s="55"/>
      <c r="F1758" s="55"/>
      <c r="G1758" s="55"/>
      <c r="H1758" s="55"/>
      <c r="I1758" s="56"/>
      <c r="J1758" s="65"/>
      <c r="K1758" s="65"/>
      <c r="L1758" s="53"/>
      <c r="M1758" s="53"/>
      <c r="N1758" s="53"/>
      <c r="O1758" s="54"/>
      <c r="P1758" s="44"/>
    </row>
    <row r="1759" spans="1:16" ht="18.75" hidden="1">
      <c r="A1759" s="56"/>
      <c r="B1759" s="55"/>
      <c r="C1759" s="55"/>
      <c r="D1759" s="55"/>
      <c r="E1759" s="55"/>
      <c r="F1759" s="55"/>
      <c r="G1759" s="55"/>
      <c r="H1759" s="55"/>
      <c r="I1759" s="56"/>
      <c r="J1759" s="65"/>
      <c r="K1759" s="65"/>
      <c r="L1759" s="53"/>
      <c r="M1759" s="53"/>
      <c r="N1759" s="53"/>
      <c r="O1759" s="54"/>
      <c r="P1759" s="44"/>
    </row>
    <row r="1760" spans="1:16" ht="18.75" hidden="1">
      <c r="A1760" s="56"/>
      <c r="B1760" s="55"/>
      <c r="C1760" s="55"/>
      <c r="D1760" s="55"/>
      <c r="E1760" s="55"/>
      <c r="F1760" s="55"/>
      <c r="G1760" s="55"/>
      <c r="H1760" s="55"/>
      <c r="I1760" s="56"/>
      <c r="J1760" s="65"/>
      <c r="K1760" s="65"/>
      <c r="L1760" s="53"/>
      <c r="M1760" s="53"/>
      <c r="N1760" s="53"/>
      <c r="O1760" s="54"/>
      <c r="P1760" s="44"/>
    </row>
    <row r="1761" spans="1:16" ht="18.75" hidden="1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4"/>
      <c r="P1761" s="44"/>
    </row>
    <row r="1762" spans="1:16" ht="18.75" hidden="1">
      <c r="A1762" s="53" t="s">
        <v>223</v>
      </c>
      <c r="B1762" s="53"/>
      <c r="C1762" s="53"/>
      <c r="D1762" s="53"/>
      <c r="E1762" s="53"/>
      <c r="F1762" s="223"/>
      <c r="G1762" s="223"/>
      <c r="H1762" s="223"/>
      <c r="I1762" s="53"/>
      <c r="J1762" s="53"/>
      <c r="K1762" s="53"/>
      <c r="L1762" s="53"/>
      <c r="M1762" s="53"/>
      <c r="N1762" s="53"/>
      <c r="O1762" s="54"/>
      <c r="P1762" s="44"/>
    </row>
    <row r="1763" spans="1:16" ht="18.75" hidden="1">
      <c r="A1763" s="53"/>
      <c r="B1763" s="53"/>
      <c r="C1763" s="53"/>
      <c r="D1763" s="53"/>
      <c r="E1763" s="53"/>
      <c r="F1763" s="130"/>
      <c r="G1763" s="130"/>
      <c r="H1763" s="224"/>
      <c r="I1763" s="224"/>
      <c r="J1763" s="224"/>
      <c r="K1763" s="193"/>
      <c r="L1763" s="193"/>
      <c r="M1763" s="53"/>
      <c r="N1763" s="53"/>
      <c r="O1763" s="54"/>
      <c r="P1763" s="44"/>
    </row>
    <row r="1764" spans="1:16" ht="18.75" hidden="1">
      <c r="A1764" s="144" t="s">
        <v>224</v>
      </c>
      <c r="B1764" s="144"/>
      <c r="C1764" s="53"/>
      <c r="D1764" s="53"/>
      <c r="E1764" s="53"/>
      <c r="F1764" s="53"/>
      <c r="G1764" s="130"/>
      <c r="H1764" s="53"/>
      <c r="I1764" s="53"/>
      <c r="J1764" s="53"/>
      <c r="K1764" s="53"/>
      <c r="L1764" s="53"/>
      <c r="M1764" s="53"/>
      <c r="N1764" s="53"/>
      <c r="O1764" s="54"/>
      <c r="P1764" s="44"/>
    </row>
    <row r="1765" spans="1:16" ht="18.75" hidden="1">
      <c r="A1765" s="144" t="s">
        <v>225</v>
      </c>
      <c r="B1765" s="144"/>
      <c r="C1765" s="140"/>
      <c r="D1765" s="53"/>
      <c r="E1765" s="225" t="s">
        <v>280</v>
      </c>
      <c r="F1765" s="225"/>
      <c r="G1765" s="225"/>
      <c r="H1765" s="56"/>
      <c r="I1765" s="53"/>
      <c r="J1765" s="53"/>
      <c r="K1765" s="53"/>
      <c r="L1765" s="53"/>
      <c r="M1765" s="53"/>
      <c r="N1765" s="53"/>
      <c r="O1765" s="54"/>
      <c r="P1765" s="44"/>
    </row>
    <row r="1766" spans="1:16" ht="18.75" hidden="1">
      <c r="A1766" s="53"/>
      <c r="B1766" s="159" t="s">
        <v>226</v>
      </c>
      <c r="C1766" s="53" t="s">
        <v>3</v>
      </c>
      <c r="D1766" s="53"/>
      <c r="E1766" s="53" t="s">
        <v>144</v>
      </c>
      <c r="F1766" s="53"/>
      <c r="G1766" s="53"/>
      <c r="H1766" s="53"/>
      <c r="I1766" s="53"/>
      <c r="J1766" s="53"/>
      <c r="K1766" s="53"/>
      <c r="L1766" s="53"/>
      <c r="M1766" s="53"/>
      <c r="N1766" s="53"/>
      <c r="O1766" s="54"/>
      <c r="P1766" s="44"/>
    </row>
    <row r="1767" spans="1:16" ht="18.75" hidden="1">
      <c r="A1767" s="41"/>
      <c r="B1767" s="41"/>
      <c r="C1767" s="41"/>
      <c r="D1767" s="41"/>
      <c r="E1767" s="41"/>
      <c r="F1767" s="41"/>
      <c r="G1767" s="41"/>
      <c r="H1767" s="41"/>
      <c r="I1767" s="41"/>
      <c r="J1767" s="41"/>
      <c r="K1767" s="41"/>
      <c r="L1767" s="41"/>
      <c r="M1767" s="41"/>
      <c r="N1767" s="41"/>
      <c r="O1767" s="43"/>
      <c r="P1767" s="44"/>
    </row>
    <row r="1768" ht="18.75" hidden="1"/>
    <row r="1769" ht="18.75" hidden="1"/>
  </sheetData>
  <sheetProtection/>
  <mergeCells count="2507">
    <mergeCell ref="B1755:D1755"/>
    <mergeCell ref="F1755:G1755"/>
    <mergeCell ref="F1762:H1762"/>
    <mergeCell ref="H1763:J1763"/>
    <mergeCell ref="E1765:G1765"/>
    <mergeCell ref="B1752:D1752"/>
    <mergeCell ref="F1752:G1752"/>
    <mergeCell ref="B1753:D1753"/>
    <mergeCell ref="F1753:G1753"/>
    <mergeCell ref="B1754:D1754"/>
    <mergeCell ref="F1754:G1754"/>
    <mergeCell ref="B1743:D1743"/>
    <mergeCell ref="E1743:F1743"/>
    <mergeCell ref="G1743:H1743"/>
    <mergeCell ref="J1743:K1743"/>
    <mergeCell ref="B1744:D1744"/>
    <mergeCell ref="E1744:F1744"/>
    <mergeCell ref="G1744:H1744"/>
    <mergeCell ref="J1744:K1744"/>
    <mergeCell ref="B1741:D1741"/>
    <mergeCell ref="E1741:F1741"/>
    <mergeCell ref="G1741:H1741"/>
    <mergeCell ref="J1741:K1741"/>
    <mergeCell ref="B1742:D1742"/>
    <mergeCell ref="E1742:F1742"/>
    <mergeCell ref="G1742:H1742"/>
    <mergeCell ref="J1742:K1742"/>
    <mergeCell ref="B1735:D1735"/>
    <mergeCell ref="F1735:G1735"/>
    <mergeCell ref="B1736:D1736"/>
    <mergeCell ref="F1736:G1736"/>
    <mergeCell ref="B1737:D1737"/>
    <mergeCell ref="F1737:G1737"/>
    <mergeCell ref="B1729:D1729"/>
    <mergeCell ref="F1729:G1729"/>
    <mergeCell ref="B1733:D1733"/>
    <mergeCell ref="F1733:G1733"/>
    <mergeCell ref="B1734:D1734"/>
    <mergeCell ref="F1734:G1734"/>
    <mergeCell ref="B1726:D1726"/>
    <mergeCell ref="F1726:G1726"/>
    <mergeCell ref="B1727:D1727"/>
    <mergeCell ref="F1727:G1727"/>
    <mergeCell ref="B1728:D1728"/>
    <mergeCell ref="F1728:G1728"/>
    <mergeCell ref="B1721:D1721"/>
    <mergeCell ref="F1721:G1721"/>
    <mergeCell ref="H1721:I1721"/>
    <mergeCell ref="B1722:D1722"/>
    <mergeCell ref="F1722:G1722"/>
    <mergeCell ref="H1722:I1722"/>
    <mergeCell ref="B1711:D1711"/>
    <mergeCell ref="F1711:G1711"/>
    <mergeCell ref="B1719:D1719"/>
    <mergeCell ref="F1719:G1719"/>
    <mergeCell ref="H1719:I1719"/>
    <mergeCell ref="B1720:D1720"/>
    <mergeCell ref="F1720:G1720"/>
    <mergeCell ref="H1720:I1720"/>
    <mergeCell ref="B1708:D1708"/>
    <mergeCell ref="F1708:G1708"/>
    <mergeCell ref="B1709:D1709"/>
    <mergeCell ref="F1709:G1709"/>
    <mergeCell ref="B1710:D1710"/>
    <mergeCell ref="F1710:G1710"/>
    <mergeCell ref="B1703:D1703"/>
    <mergeCell ref="F1703:G1703"/>
    <mergeCell ref="H1703:I1703"/>
    <mergeCell ref="B1704:D1704"/>
    <mergeCell ref="F1704:G1704"/>
    <mergeCell ref="H1704:I1704"/>
    <mergeCell ref="B1697:D1697"/>
    <mergeCell ref="F1697:G1697"/>
    <mergeCell ref="B1701:D1701"/>
    <mergeCell ref="F1701:G1701"/>
    <mergeCell ref="H1701:I1701"/>
    <mergeCell ref="B1702:D1702"/>
    <mergeCell ref="F1702:G1702"/>
    <mergeCell ref="H1702:I1702"/>
    <mergeCell ref="B1694:D1694"/>
    <mergeCell ref="F1694:G1694"/>
    <mergeCell ref="B1695:D1695"/>
    <mergeCell ref="F1695:G1695"/>
    <mergeCell ref="B1696:D1696"/>
    <mergeCell ref="F1696:G1696"/>
    <mergeCell ref="B1689:D1689"/>
    <mergeCell ref="F1689:G1689"/>
    <mergeCell ref="H1689:I1689"/>
    <mergeCell ref="B1690:D1690"/>
    <mergeCell ref="F1690:G1690"/>
    <mergeCell ref="H1690:I1690"/>
    <mergeCell ref="B1687:D1687"/>
    <mergeCell ref="F1687:G1687"/>
    <mergeCell ref="H1687:I1687"/>
    <mergeCell ref="B1688:D1688"/>
    <mergeCell ref="F1688:G1688"/>
    <mergeCell ref="H1688:I1688"/>
    <mergeCell ref="B1678:E1678"/>
    <mergeCell ref="F1678:G1678"/>
    <mergeCell ref="I1678:J1678"/>
    <mergeCell ref="B1679:E1679"/>
    <mergeCell ref="F1679:G1679"/>
    <mergeCell ref="I1679:J1679"/>
    <mergeCell ref="B1676:E1676"/>
    <mergeCell ref="F1676:G1676"/>
    <mergeCell ref="I1676:J1676"/>
    <mergeCell ref="B1677:E1677"/>
    <mergeCell ref="F1677:G1677"/>
    <mergeCell ref="I1677:J1677"/>
    <mergeCell ref="B1671:E1671"/>
    <mergeCell ref="F1671:G1671"/>
    <mergeCell ref="J1671:K1671"/>
    <mergeCell ref="B1672:E1672"/>
    <mergeCell ref="F1672:G1672"/>
    <mergeCell ref="J1672:K1672"/>
    <mergeCell ref="B1669:E1669"/>
    <mergeCell ref="F1669:G1669"/>
    <mergeCell ref="J1669:K1669"/>
    <mergeCell ref="B1670:E1670"/>
    <mergeCell ref="F1670:G1670"/>
    <mergeCell ref="J1670:K1670"/>
    <mergeCell ref="B1660:D1660"/>
    <mergeCell ref="E1660:F1660"/>
    <mergeCell ref="G1660:H1660"/>
    <mergeCell ref="B1661:D1661"/>
    <mergeCell ref="E1661:F1661"/>
    <mergeCell ref="G1661:H1661"/>
    <mergeCell ref="B1658:D1658"/>
    <mergeCell ref="E1658:F1658"/>
    <mergeCell ref="G1658:H1658"/>
    <mergeCell ref="B1659:D1659"/>
    <mergeCell ref="E1659:F1659"/>
    <mergeCell ref="G1659:H1659"/>
    <mergeCell ref="B1653:D1653"/>
    <mergeCell ref="E1653:F1653"/>
    <mergeCell ref="G1653:H1653"/>
    <mergeCell ref="B1657:D1657"/>
    <mergeCell ref="E1657:F1657"/>
    <mergeCell ref="G1657:H1657"/>
    <mergeCell ref="B1651:D1651"/>
    <mergeCell ref="E1651:F1651"/>
    <mergeCell ref="G1651:H1651"/>
    <mergeCell ref="B1652:D1652"/>
    <mergeCell ref="E1652:F1652"/>
    <mergeCell ref="G1652:H1652"/>
    <mergeCell ref="B1646:D1646"/>
    <mergeCell ref="E1646:F1646"/>
    <mergeCell ref="G1646:H1646"/>
    <mergeCell ref="B1650:D1650"/>
    <mergeCell ref="E1650:F1650"/>
    <mergeCell ref="G1650:H1650"/>
    <mergeCell ref="B1644:D1644"/>
    <mergeCell ref="E1644:F1644"/>
    <mergeCell ref="G1644:H1644"/>
    <mergeCell ref="B1645:D1645"/>
    <mergeCell ref="E1645:F1645"/>
    <mergeCell ref="G1645:H1645"/>
    <mergeCell ref="B1635:D1635"/>
    <mergeCell ref="E1635:F1635"/>
    <mergeCell ref="G1635:H1635"/>
    <mergeCell ref="B1643:D1643"/>
    <mergeCell ref="E1643:F1643"/>
    <mergeCell ref="G1643:H1643"/>
    <mergeCell ref="B1633:D1633"/>
    <mergeCell ref="E1633:F1633"/>
    <mergeCell ref="G1633:H1633"/>
    <mergeCell ref="B1634:D1634"/>
    <mergeCell ref="E1634:F1634"/>
    <mergeCell ref="G1634:H1634"/>
    <mergeCell ref="B1628:D1628"/>
    <mergeCell ref="E1628:F1628"/>
    <mergeCell ref="G1628:H1628"/>
    <mergeCell ref="B1632:D1632"/>
    <mergeCell ref="E1632:F1632"/>
    <mergeCell ref="G1632:H1632"/>
    <mergeCell ref="B1626:D1626"/>
    <mergeCell ref="E1626:F1626"/>
    <mergeCell ref="G1626:H1626"/>
    <mergeCell ref="B1627:D1627"/>
    <mergeCell ref="E1627:F1627"/>
    <mergeCell ref="G1627:H1627"/>
    <mergeCell ref="B1616:D1616"/>
    <mergeCell ref="E1616:F1616"/>
    <mergeCell ref="G1616:H1616"/>
    <mergeCell ref="B1625:D1625"/>
    <mergeCell ref="E1625:F1625"/>
    <mergeCell ref="G1625:H1625"/>
    <mergeCell ref="B1614:D1614"/>
    <mergeCell ref="E1614:F1614"/>
    <mergeCell ref="G1614:H1614"/>
    <mergeCell ref="B1615:D1615"/>
    <mergeCell ref="E1615:F1615"/>
    <mergeCell ref="G1615:H1615"/>
    <mergeCell ref="B1608:D1608"/>
    <mergeCell ref="E1608:F1608"/>
    <mergeCell ref="G1608:H1608"/>
    <mergeCell ref="B1613:D1613"/>
    <mergeCell ref="E1613:F1613"/>
    <mergeCell ref="G1613:H1613"/>
    <mergeCell ref="B1606:D1606"/>
    <mergeCell ref="E1606:F1606"/>
    <mergeCell ref="G1606:H1606"/>
    <mergeCell ref="B1607:D1607"/>
    <mergeCell ref="E1607:F1607"/>
    <mergeCell ref="G1607:H1607"/>
    <mergeCell ref="B1603:D1603"/>
    <mergeCell ref="E1603:F1603"/>
    <mergeCell ref="G1603:H1603"/>
    <mergeCell ref="B1605:D1605"/>
    <mergeCell ref="E1605:F1605"/>
    <mergeCell ref="G1605:H1605"/>
    <mergeCell ref="B1601:D1601"/>
    <mergeCell ref="E1601:F1601"/>
    <mergeCell ref="G1601:H1601"/>
    <mergeCell ref="B1602:D1602"/>
    <mergeCell ref="E1602:F1602"/>
    <mergeCell ref="G1602:H1602"/>
    <mergeCell ref="B1590:D1590"/>
    <mergeCell ref="E1590:F1590"/>
    <mergeCell ref="G1590:H1590"/>
    <mergeCell ref="B1600:D1600"/>
    <mergeCell ref="E1600:F1600"/>
    <mergeCell ref="G1600:H1600"/>
    <mergeCell ref="B1588:D1588"/>
    <mergeCell ref="E1588:F1588"/>
    <mergeCell ref="G1588:H1588"/>
    <mergeCell ref="B1589:D1589"/>
    <mergeCell ref="E1589:F1589"/>
    <mergeCell ref="G1589:H1589"/>
    <mergeCell ref="B1586:D1586"/>
    <mergeCell ref="E1586:F1586"/>
    <mergeCell ref="G1586:H1586"/>
    <mergeCell ref="B1587:D1587"/>
    <mergeCell ref="E1587:F1587"/>
    <mergeCell ref="G1587:H1587"/>
    <mergeCell ref="B1584:D1584"/>
    <mergeCell ref="E1584:F1584"/>
    <mergeCell ref="G1584:H1584"/>
    <mergeCell ref="B1585:D1585"/>
    <mergeCell ref="E1585:F1585"/>
    <mergeCell ref="G1585:H1585"/>
    <mergeCell ref="B1579:D1579"/>
    <mergeCell ref="E1579:F1579"/>
    <mergeCell ref="G1579:H1579"/>
    <mergeCell ref="B1583:D1583"/>
    <mergeCell ref="E1583:F1583"/>
    <mergeCell ref="G1583:H1583"/>
    <mergeCell ref="B1577:D1577"/>
    <mergeCell ref="E1577:F1577"/>
    <mergeCell ref="G1577:H1577"/>
    <mergeCell ref="B1578:D1578"/>
    <mergeCell ref="E1578:F1578"/>
    <mergeCell ref="G1578:H1578"/>
    <mergeCell ref="B1575:D1575"/>
    <mergeCell ref="E1575:F1575"/>
    <mergeCell ref="G1575:H1575"/>
    <mergeCell ref="B1576:D1576"/>
    <mergeCell ref="E1576:F1576"/>
    <mergeCell ref="G1576:H1576"/>
    <mergeCell ref="B1573:D1573"/>
    <mergeCell ref="E1573:F1573"/>
    <mergeCell ref="G1573:H1573"/>
    <mergeCell ref="B1574:D1574"/>
    <mergeCell ref="E1574:F1574"/>
    <mergeCell ref="G1574:H1574"/>
    <mergeCell ref="B1571:D1571"/>
    <mergeCell ref="E1571:F1571"/>
    <mergeCell ref="G1571:H1571"/>
    <mergeCell ref="B1572:D1572"/>
    <mergeCell ref="E1572:F1572"/>
    <mergeCell ref="G1572:H1572"/>
    <mergeCell ref="B1566:D1566"/>
    <mergeCell ref="E1566:F1566"/>
    <mergeCell ref="G1566:H1566"/>
    <mergeCell ref="B1570:D1570"/>
    <mergeCell ref="E1570:F1570"/>
    <mergeCell ref="G1570:H1570"/>
    <mergeCell ref="B1564:D1564"/>
    <mergeCell ref="E1564:F1564"/>
    <mergeCell ref="G1564:H1564"/>
    <mergeCell ref="B1565:D1565"/>
    <mergeCell ref="E1565:F1565"/>
    <mergeCell ref="G1565:H1565"/>
    <mergeCell ref="B1562:D1562"/>
    <mergeCell ref="E1562:F1562"/>
    <mergeCell ref="G1562:H1562"/>
    <mergeCell ref="B1563:D1563"/>
    <mergeCell ref="E1563:F1563"/>
    <mergeCell ref="G1563:H1563"/>
    <mergeCell ref="B1560:D1560"/>
    <mergeCell ref="E1560:F1560"/>
    <mergeCell ref="G1560:H1560"/>
    <mergeCell ref="B1561:D1561"/>
    <mergeCell ref="E1561:F1561"/>
    <mergeCell ref="G1561:H1561"/>
    <mergeCell ref="B1551:D1551"/>
    <mergeCell ref="E1551:F1551"/>
    <mergeCell ref="G1551:H1551"/>
    <mergeCell ref="B1552:D1552"/>
    <mergeCell ref="E1552:F1552"/>
    <mergeCell ref="G1552:H1552"/>
    <mergeCell ref="B1549:D1549"/>
    <mergeCell ref="E1549:F1549"/>
    <mergeCell ref="G1549:H1549"/>
    <mergeCell ref="B1550:D1550"/>
    <mergeCell ref="E1550:F1550"/>
    <mergeCell ref="G1550:H1550"/>
    <mergeCell ref="B1540:E1540"/>
    <mergeCell ref="F1540:G1540"/>
    <mergeCell ref="I1540:J1540"/>
    <mergeCell ref="B1548:D1548"/>
    <mergeCell ref="E1548:F1548"/>
    <mergeCell ref="G1548:H1548"/>
    <mergeCell ref="B1538:E1538"/>
    <mergeCell ref="F1538:G1538"/>
    <mergeCell ref="I1538:J1538"/>
    <mergeCell ref="B1539:E1539"/>
    <mergeCell ref="F1539:G1539"/>
    <mergeCell ref="I1539:J1539"/>
    <mergeCell ref="B1533:E1533"/>
    <mergeCell ref="F1533:G1533"/>
    <mergeCell ref="J1533:K1533"/>
    <mergeCell ref="B1537:E1537"/>
    <mergeCell ref="F1537:G1537"/>
    <mergeCell ref="I1537:J1537"/>
    <mergeCell ref="B1531:E1531"/>
    <mergeCell ref="F1531:G1531"/>
    <mergeCell ref="J1531:K1531"/>
    <mergeCell ref="B1532:E1532"/>
    <mergeCell ref="F1532:G1532"/>
    <mergeCell ref="J1532:K1532"/>
    <mergeCell ref="B1522:D1522"/>
    <mergeCell ref="E1522:F1522"/>
    <mergeCell ref="G1522:H1522"/>
    <mergeCell ref="B1530:E1530"/>
    <mergeCell ref="F1530:G1530"/>
    <mergeCell ref="J1530:K1530"/>
    <mergeCell ref="B1520:D1520"/>
    <mergeCell ref="E1520:F1520"/>
    <mergeCell ref="G1520:H1520"/>
    <mergeCell ref="B1521:D1521"/>
    <mergeCell ref="E1521:F1521"/>
    <mergeCell ref="G1521:H1521"/>
    <mergeCell ref="B1515:D1515"/>
    <mergeCell ref="E1515:F1515"/>
    <mergeCell ref="G1515:H1515"/>
    <mergeCell ref="B1519:D1519"/>
    <mergeCell ref="E1519:F1519"/>
    <mergeCell ref="G1519:H1519"/>
    <mergeCell ref="B1513:D1513"/>
    <mergeCell ref="E1513:F1513"/>
    <mergeCell ref="G1513:H1513"/>
    <mergeCell ref="B1514:D1514"/>
    <mergeCell ref="E1514:F1514"/>
    <mergeCell ref="G1514:H1514"/>
    <mergeCell ref="B1507:E1507"/>
    <mergeCell ref="F1507:G1507"/>
    <mergeCell ref="B1511:D1511"/>
    <mergeCell ref="E1511:F1511"/>
    <mergeCell ref="G1511:H1511"/>
    <mergeCell ref="B1512:D1512"/>
    <mergeCell ref="E1512:F1512"/>
    <mergeCell ref="G1512:H1512"/>
    <mergeCell ref="B1504:E1504"/>
    <mergeCell ref="F1504:G1504"/>
    <mergeCell ref="B1505:E1505"/>
    <mergeCell ref="F1505:G1505"/>
    <mergeCell ref="B1506:E1506"/>
    <mergeCell ref="F1506:G1506"/>
    <mergeCell ref="B1498:E1498"/>
    <mergeCell ref="F1498:G1498"/>
    <mergeCell ref="B1499:E1499"/>
    <mergeCell ref="F1499:G1499"/>
    <mergeCell ref="B1503:E1503"/>
    <mergeCell ref="F1503:G1503"/>
    <mergeCell ref="B1492:E1492"/>
    <mergeCell ref="F1492:G1492"/>
    <mergeCell ref="B1496:E1496"/>
    <mergeCell ref="F1496:G1496"/>
    <mergeCell ref="B1497:E1497"/>
    <mergeCell ref="F1497:G1497"/>
    <mergeCell ref="B1489:E1489"/>
    <mergeCell ref="F1489:G1489"/>
    <mergeCell ref="B1490:E1490"/>
    <mergeCell ref="F1490:G1490"/>
    <mergeCell ref="B1491:E1491"/>
    <mergeCell ref="F1491:G1491"/>
    <mergeCell ref="B1483:C1483"/>
    <mergeCell ref="E1483:F1483"/>
    <mergeCell ref="G1483:H1483"/>
    <mergeCell ref="B1487:E1487"/>
    <mergeCell ref="F1487:G1487"/>
    <mergeCell ref="B1488:E1488"/>
    <mergeCell ref="F1488:G1488"/>
    <mergeCell ref="B1481:C1481"/>
    <mergeCell ref="E1481:F1481"/>
    <mergeCell ref="G1481:H1481"/>
    <mergeCell ref="B1482:C1482"/>
    <mergeCell ref="E1482:F1482"/>
    <mergeCell ref="G1482:H1482"/>
    <mergeCell ref="B1479:C1479"/>
    <mergeCell ref="E1479:F1479"/>
    <mergeCell ref="G1479:H1479"/>
    <mergeCell ref="B1480:C1480"/>
    <mergeCell ref="E1480:F1480"/>
    <mergeCell ref="G1480:H1480"/>
    <mergeCell ref="B1468:E1468"/>
    <mergeCell ref="F1468:G1468"/>
    <mergeCell ref="B1469:E1469"/>
    <mergeCell ref="F1469:G1469"/>
    <mergeCell ref="B1470:E1470"/>
    <mergeCell ref="F1470:G1470"/>
    <mergeCell ref="B1462:E1462"/>
    <mergeCell ref="F1462:G1462"/>
    <mergeCell ref="B1463:E1463"/>
    <mergeCell ref="F1463:G1463"/>
    <mergeCell ref="B1467:E1467"/>
    <mergeCell ref="F1467:G1467"/>
    <mergeCell ref="B1456:E1456"/>
    <mergeCell ref="F1456:G1456"/>
    <mergeCell ref="B1460:E1460"/>
    <mergeCell ref="F1460:G1460"/>
    <mergeCell ref="B1461:E1461"/>
    <mergeCell ref="F1461:G1461"/>
    <mergeCell ref="B1453:E1453"/>
    <mergeCell ref="F1453:G1453"/>
    <mergeCell ref="B1454:E1454"/>
    <mergeCell ref="F1454:G1454"/>
    <mergeCell ref="B1455:E1455"/>
    <mergeCell ref="F1455:G1455"/>
    <mergeCell ref="B1448:E1448"/>
    <mergeCell ref="F1448:G1448"/>
    <mergeCell ref="I1448:J1448"/>
    <mergeCell ref="B1449:E1449"/>
    <mergeCell ref="F1449:G1449"/>
    <mergeCell ref="I1449:J1449"/>
    <mergeCell ref="B1446:E1446"/>
    <mergeCell ref="F1446:G1446"/>
    <mergeCell ref="I1446:J1446"/>
    <mergeCell ref="B1447:E1447"/>
    <mergeCell ref="F1447:G1447"/>
    <mergeCell ref="I1447:J1447"/>
    <mergeCell ref="B1441:E1441"/>
    <mergeCell ref="F1441:G1441"/>
    <mergeCell ref="H1441:I1441"/>
    <mergeCell ref="B1442:E1442"/>
    <mergeCell ref="F1442:G1442"/>
    <mergeCell ref="H1442:I1442"/>
    <mergeCell ref="B1439:E1439"/>
    <mergeCell ref="F1439:G1439"/>
    <mergeCell ref="H1439:I1439"/>
    <mergeCell ref="B1440:E1440"/>
    <mergeCell ref="F1440:G1440"/>
    <mergeCell ref="H1440:I1440"/>
    <mergeCell ref="B1434:E1434"/>
    <mergeCell ref="F1434:G1434"/>
    <mergeCell ref="J1434:K1434"/>
    <mergeCell ref="B1435:E1435"/>
    <mergeCell ref="F1435:G1435"/>
    <mergeCell ref="J1435:K1435"/>
    <mergeCell ref="B1422:D1422"/>
    <mergeCell ref="F1422:G1422"/>
    <mergeCell ref="B1432:E1432"/>
    <mergeCell ref="F1432:G1432"/>
    <mergeCell ref="J1432:K1432"/>
    <mergeCell ref="B1433:E1433"/>
    <mergeCell ref="F1433:G1433"/>
    <mergeCell ref="J1433:K1433"/>
    <mergeCell ref="B1419:D1419"/>
    <mergeCell ref="F1419:G1419"/>
    <mergeCell ref="B1420:D1420"/>
    <mergeCell ref="F1420:G1420"/>
    <mergeCell ref="B1421:D1421"/>
    <mergeCell ref="F1421:G1421"/>
    <mergeCell ref="B1408:D1408"/>
    <mergeCell ref="F1408:G1408"/>
    <mergeCell ref="B1409:D1409"/>
    <mergeCell ref="F1409:G1409"/>
    <mergeCell ref="B1418:D1418"/>
    <mergeCell ref="F1418:G1418"/>
    <mergeCell ref="B1402:D1402"/>
    <mergeCell ref="F1402:G1402"/>
    <mergeCell ref="H1402:I1402"/>
    <mergeCell ref="B1406:D1406"/>
    <mergeCell ref="F1406:G1406"/>
    <mergeCell ref="B1407:D1407"/>
    <mergeCell ref="F1407:G1407"/>
    <mergeCell ref="H1399:I1399"/>
    <mergeCell ref="B1400:D1400"/>
    <mergeCell ref="F1400:G1400"/>
    <mergeCell ref="H1400:I1400"/>
    <mergeCell ref="B1401:D1401"/>
    <mergeCell ref="F1401:G1401"/>
    <mergeCell ref="H1401:I1401"/>
    <mergeCell ref="B1394:D1394"/>
    <mergeCell ref="F1394:G1394"/>
    <mergeCell ref="B1395:D1395"/>
    <mergeCell ref="F1395:G1395"/>
    <mergeCell ref="B1399:D1399"/>
    <mergeCell ref="F1399:G1399"/>
    <mergeCell ref="B1388:D1388"/>
    <mergeCell ref="F1388:G1388"/>
    <mergeCell ref="H1388:I1388"/>
    <mergeCell ref="B1392:D1392"/>
    <mergeCell ref="F1392:G1392"/>
    <mergeCell ref="B1393:D1393"/>
    <mergeCell ref="F1393:G1393"/>
    <mergeCell ref="B1386:D1386"/>
    <mergeCell ref="F1386:G1386"/>
    <mergeCell ref="H1386:I1386"/>
    <mergeCell ref="B1387:D1387"/>
    <mergeCell ref="F1387:G1387"/>
    <mergeCell ref="H1387:I1387"/>
    <mergeCell ref="B1377:E1377"/>
    <mergeCell ref="F1377:G1377"/>
    <mergeCell ref="I1377:J1377"/>
    <mergeCell ref="B1385:D1385"/>
    <mergeCell ref="F1385:G1385"/>
    <mergeCell ref="H1385:I1385"/>
    <mergeCell ref="B1375:E1375"/>
    <mergeCell ref="F1375:G1375"/>
    <mergeCell ref="I1375:J1375"/>
    <mergeCell ref="B1376:E1376"/>
    <mergeCell ref="F1376:G1376"/>
    <mergeCell ref="I1376:J1376"/>
    <mergeCell ref="B1370:E1370"/>
    <mergeCell ref="F1370:G1370"/>
    <mergeCell ref="J1370:K1370"/>
    <mergeCell ref="B1374:E1374"/>
    <mergeCell ref="F1374:G1374"/>
    <mergeCell ref="I1374:J1374"/>
    <mergeCell ref="B1368:E1368"/>
    <mergeCell ref="F1368:G1368"/>
    <mergeCell ref="J1368:K1368"/>
    <mergeCell ref="B1369:E1369"/>
    <mergeCell ref="F1369:G1369"/>
    <mergeCell ref="J1369:K1369"/>
    <mergeCell ref="B1361:D1361"/>
    <mergeCell ref="E1361:F1361"/>
    <mergeCell ref="G1361:H1361"/>
    <mergeCell ref="B1367:E1367"/>
    <mergeCell ref="F1367:G1367"/>
    <mergeCell ref="J1367:K1367"/>
    <mergeCell ref="B1359:D1359"/>
    <mergeCell ref="E1359:F1359"/>
    <mergeCell ref="G1359:H1359"/>
    <mergeCell ref="B1360:D1360"/>
    <mergeCell ref="E1360:F1360"/>
    <mergeCell ref="G1360:H1360"/>
    <mergeCell ref="B1357:D1357"/>
    <mergeCell ref="E1357:F1357"/>
    <mergeCell ref="G1357:H1357"/>
    <mergeCell ref="B1358:D1358"/>
    <mergeCell ref="E1358:F1358"/>
    <mergeCell ref="G1358:H1358"/>
    <mergeCell ref="B1352:D1352"/>
    <mergeCell ref="E1352:F1352"/>
    <mergeCell ref="G1352:H1352"/>
    <mergeCell ref="B1353:D1353"/>
    <mergeCell ref="E1353:F1353"/>
    <mergeCell ref="G1353:H1353"/>
    <mergeCell ref="B1350:D1350"/>
    <mergeCell ref="E1350:F1350"/>
    <mergeCell ref="G1350:H1350"/>
    <mergeCell ref="B1351:D1351"/>
    <mergeCell ref="E1351:F1351"/>
    <mergeCell ref="G1351:H1351"/>
    <mergeCell ref="B1345:D1345"/>
    <mergeCell ref="E1345:F1345"/>
    <mergeCell ref="G1345:H1345"/>
    <mergeCell ref="B1346:D1346"/>
    <mergeCell ref="E1346:F1346"/>
    <mergeCell ref="G1346:H1346"/>
    <mergeCell ref="B1343:D1343"/>
    <mergeCell ref="E1343:F1343"/>
    <mergeCell ref="G1343:H1343"/>
    <mergeCell ref="B1344:D1344"/>
    <mergeCell ref="E1344:F1344"/>
    <mergeCell ref="G1344:H1344"/>
    <mergeCell ref="B1334:D1334"/>
    <mergeCell ref="E1334:F1334"/>
    <mergeCell ref="G1334:H1334"/>
    <mergeCell ref="B1335:D1335"/>
    <mergeCell ref="E1335:F1335"/>
    <mergeCell ref="G1335:H1335"/>
    <mergeCell ref="B1332:D1332"/>
    <mergeCell ref="E1332:F1332"/>
    <mergeCell ref="G1332:H1332"/>
    <mergeCell ref="B1333:D1333"/>
    <mergeCell ref="E1333:F1333"/>
    <mergeCell ref="G1333:H1333"/>
    <mergeCell ref="B1327:D1327"/>
    <mergeCell ref="E1327:F1327"/>
    <mergeCell ref="G1327:H1327"/>
    <mergeCell ref="B1328:D1328"/>
    <mergeCell ref="E1328:F1328"/>
    <mergeCell ref="G1328:H1328"/>
    <mergeCell ref="B1325:D1325"/>
    <mergeCell ref="E1325:F1325"/>
    <mergeCell ref="G1325:H1325"/>
    <mergeCell ref="B1326:D1326"/>
    <mergeCell ref="E1326:F1326"/>
    <mergeCell ref="G1326:H1326"/>
    <mergeCell ref="B1315:D1315"/>
    <mergeCell ref="E1315:F1315"/>
    <mergeCell ref="G1315:H1315"/>
    <mergeCell ref="B1316:D1316"/>
    <mergeCell ref="E1316:F1316"/>
    <mergeCell ref="G1316:H1316"/>
    <mergeCell ref="B1313:D1313"/>
    <mergeCell ref="E1313:F1313"/>
    <mergeCell ref="G1313:H1313"/>
    <mergeCell ref="B1314:D1314"/>
    <mergeCell ref="E1314:F1314"/>
    <mergeCell ref="G1314:H1314"/>
    <mergeCell ref="B1307:D1307"/>
    <mergeCell ref="E1307:F1307"/>
    <mergeCell ref="G1307:H1307"/>
    <mergeCell ref="B1308:D1308"/>
    <mergeCell ref="E1308:F1308"/>
    <mergeCell ref="G1308:H1308"/>
    <mergeCell ref="B1305:D1305"/>
    <mergeCell ref="E1305:F1305"/>
    <mergeCell ref="G1305:H1305"/>
    <mergeCell ref="B1306:D1306"/>
    <mergeCell ref="E1306:F1306"/>
    <mergeCell ref="G1306:H1306"/>
    <mergeCell ref="B1294:D1294"/>
    <mergeCell ref="E1294:F1294"/>
    <mergeCell ref="G1294:H1294"/>
    <mergeCell ref="B1304:D1304"/>
    <mergeCell ref="E1304:F1304"/>
    <mergeCell ref="G1304:H1304"/>
    <mergeCell ref="B1292:D1292"/>
    <mergeCell ref="E1292:F1292"/>
    <mergeCell ref="G1292:H1292"/>
    <mergeCell ref="B1293:D1293"/>
    <mergeCell ref="E1293:F1293"/>
    <mergeCell ref="G1293:H1293"/>
    <mergeCell ref="B1290:D1290"/>
    <mergeCell ref="E1290:F1290"/>
    <mergeCell ref="G1290:H1290"/>
    <mergeCell ref="B1291:D1291"/>
    <mergeCell ref="E1291:F1291"/>
    <mergeCell ref="G1291:H1291"/>
    <mergeCell ref="B1285:D1285"/>
    <mergeCell ref="E1285:F1285"/>
    <mergeCell ref="G1285:H1285"/>
    <mergeCell ref="B1289:D1289"/>
    <mergeCell ref="E1289:F1289"/>
    <mergeCell ref="G1289:H1289"/>
    <mergeCell ref="B1283:D1283"/>
    <mergeCell ref="E1283:F1283"/>
    <mergeCell ref="G1283:H1283"/>
    <mergeCell ref="B1284:D1284"/>
    <mergeCell ref="E1284:F1284"/>
    <mergeCell ref="G1284:H1284"/>
    <mergeCell ref="B1278:D1278"/>
    <mergeCell ref="E1278:F1278"/>
    <mergeCell ref="G1278:H1278"/>
    <mergeCell ref="B1282:D1282"/>
    <mergeCell ref="E1282:F1282"/>
    <mergeCell ref="G1282:H1282"/>
    <mergeCell ref="B1276:D1276"/>
    <mergeCell ref="E1276:F1276"/>
    <mergeCell ref="G1276:H1276"/>
    <mergeCell ref="B1277:D1277"/>
    <mergeCell ref="E1277:F1277"/>
    <mergeCell ref="G1277:H1277"/>
    <mergeCell ref="B1274:D1274"/>
    <mergeCell ref="E1274:F1274"/>
    <mergeCell ref="G1274:H1274"/>
    <mergeCell ref="B1275:D1275"/>
    <mergeCell ref="E1275:F1275"/>
    <mergeCell ref="G1275:H1275"/>
    <mergeCell ref="B1269:D1269"/>
    <mergeCell ref="E1269:F1269"/>
    <mergeCell ref="G1269:H1269"/>
    <mergeCell ref="B1273:D1273"/>
    <mergeCell ref="E1273:F1273"/>
    <mergeCell ref="G1273:H1273"/>
    <mergeCell ref="B1267:D1267"/>
    <mergeCell ref="E1267:F1267"/>
    <mergeCell ref="G1267:H1267"/>
    <mergeCell ref="B1268:D1268"/>
    <mergeCell ref="E1268:F1268"/>
    <mergeCell ref="G1268:H1268"/>
    <mergeCell ref="B1265:D1265"/>
    <mergeCell ref="E1265:F1265"/>
    <mergeCell ref="G1265:H1265"/>
    <mergeCell ref="B1266:D1266"/>
    <mergeCell ref="E1266:F1266"/>
    <mergeCell ref="G1266:H1266"/>
    <mergeCell ref="B1263:D1263"/>
    <mergeCell ref="E1263:F1263"/>
    <mergeCell ref="G1263:H1263"/>
    <mergeCell ref="B1264:D1264"/>
    <mergeCell ref="E1264:F1264"/>
    <mergeCell ref="G1264:H1264"/>
    <mergeCell ref="B1258:D1258"/>
    <mergeCell ref="E1258:F1258"/>
    <mergeCell ref="G1258:H1258"/>
    <mergeCell ref="B1262:D1262"/>
    <mergeCell ref="E1262:F1262"/>
    <mergeCell ref="G1262:H1262"/>
    <mergeCell ref="B1256:D1256"/>
    <mergeCell ref="E1256:F1256"/>
    <mergeCell ref="G1256:H1256"/>
    <mergeCell ref="B1257:D1257"/>
    <mergeCell ref="E1257:F1257"/>
    <mergeCell ref="G1257:H1257"/>
    <mergeCell ref="E1253:F1253"/>
    <mergeCell ref="G1253:H1253"/>
    <mergeCell ref="E1254:F1254"/>
    <mergeCell ref="G1254:H1254"/>
    <mergeCell ref="B1255:D1255"/>
    <mergeCell ref="E1255:F1255"/>
    <mergeCell ref="G1255:H1255"/>
    <mergeCell ref="B1250:D1250"/>
    <mergeCell ref="E1250:F1250"/>
    <mergeCell ref="G1250:H1250"/>
    <mergeCell ref="E1251:F1251"/>
    <mergeCell ref="G1251:H1251"/>
    <mergeCell ref="E1252:F1252"/>
    <mergeCell ref="G1252:H1252"/>
    <mergeCell ref="B1245:D1245"/>
    <mergeCell ref="E1245:F1245"/>
    <mergeCell ref="G1245:H1245"/>
    <mergeCell ref="B1249:D1249"/>
    <mergeCell ref="E1249:F1249"/>
    <mergeCell ref="G1249:H1249"/>
    <mergeCell ref="G1229:H1229"/>
    <mergeCell ref="B1230:D1230"/>
    <mergeCell ref="E1230:F1230"/>
    <mergeCell ref="G1230:H1230"/>
    <mergeCell ref="B1231:D1231"/>
    <mergeCell ref="E1231:F1231"/>
    <mergeCell ref="G1231:H1231"/>
    <mergeCell ref="B1218:E1218"/>
    <mergeCell ref="I1218:J1218"/>
    <mergeCell ref="B1219:E1219"/>
    <mergeCell ref="I1219:J1219"/>
    <mergeCell ref="E1227:F1227"/>
    <mergeCell ref="G1227:H1227"/>
    <mergeCell ref="J1212:K1212"/>
    <mergeCell ref="B1216:E1216"/>
    <mergeCell ref="F1216:G1216"/>
    <mergeCell ref="I1216:J1216"/>
    <mergeCell ref="B1217:E1217"/>
    <mergeCell ref="F1217:G1217"/>
    <mergeCell ref="I1217:J1217"/>
    <mergeCell ref="J1209:K1209"/>
    <mergeCell ref="B1210:E1210"/>
    <mergeCell ref="J1210:K1210"/>
    <mergeCell ref="B1211:E1211"/>
    <mergeCell ref="F1211:G1211"/>
    <mergeCell ref="J1211:K1211"/>
    <mergeCell ref="B1199:D1199"/>
    <mergeCell ref="E1199:F1199"/>
    <mergeCell ref="G1199:H1199"/>
    <mergeCell ref="E1200:F1200"/>
    <mergeCell ref="G1200:H1200"/>
    <mergeCell ref="E1201:F1201"/>
    <mergeCell ref="G1201:H1201"/>
    <mergeCell ref="B1192:D1192"/>
    <mergeCell ref="E1192:F1192"/>
    <mergeCell ref="G1192:H1192"/>
    <mergeCell ref="E1193:F1193"/>
    <mergeCell ref="G1193:H1193"/>
    <mergeCell ref="E1194:F1194"/>
    <mergeCell ref="G1194:H1194"/>
    <mergeCell ref="B1184:E1184"/>
    <mergeCell ref="F1184:G1184"/>
    <mergeCell ref="B1185:E1185"/>
    <mergeCell ref="F1185:G1185"/>
    <mergeCell ref="B1186:E1186"/>
    <mergeCell ref="B1190:D1190"/>
    <mergeCell ref="E1190:F1190"/>
    <mergeCell ref="G1190:H1190"/>
    <mergeCell ref="B1162:C1162"/>
    <mergeCell ref="E1162:F1162"/>
    <mergeCell ref="G1162:H1162"/>
    <mergeCell ref="B1166:E1166"/>
    <mergeCell ref="F1166:G1166"/>
    <mergeCell ref="B1167:E1167"/>
    <mergeCell ref="F1167:G1167"/>
    <mergeCell ref="B1148:E1148"/>
    <mergeCell ref="F1148:G1148"/>
    <mergeCell ref="B1149:E1149"/>
    <mergeCell ref="F1149:G1149"/>
    <mergeCell ref="B1158:C1158"/>
    <mergeCell ref="B1159:C1159"/>
    <mergeCell ref="B1141:E1141"/>
    <mergeCell ref="F1141:G1141"/>
    <mergeCell ref="B1146:E1146"/>
    <mergeCell ref="F1146:G1146"/>
    <mergeCell ref="B1147:E1147"/>
    <mergeCell ref="F1147:G1147"/>
    <mergeCell ref="B1138:E1138"/>
    <mergeCell ref="F1138:G1138"/>
    <mergeCell ref="B1139:E1139"/>
    <mergeCell ref="F1139:G1139"/>
    <mergeCell ref="B1140:E1140"/>
    <mergeCell ref="F1140:G1140"/>
    <mergeCell ref="I1127:J1127"/>
    <mergeCell ref="B1131:E1131"/>
    <mergeCell ref="F1131:G1131"/>
    <mergeCell ref="B1132:E1132"/>
    <mergeCell ref="F1132:G1132"/>
    <mergeCell ref="B1133:E1133"/>
    <mergeCell ref="F1133:G1133"/>
    <mergeCell ref="I1124:J1124"/>
    <mergeCell ref="B1125:E1125"/>
    <mergeCell ref="F1125:G1125"/>
    <mergeCell ref="I1125:J1125"/>
    <mergeCell ref="B1126:E1126"/>
    <mergeCell ref="F1126:G1126"/>
    <mergeCell ref="I1126:J1126"/>
    <mergeCell ref="B1119:E1119"/>
    <mergeCell ref="F1119:G1119"/>
    <mergeCell ref="J1119:K1119"/>
    <mergeCell ref="B1120:E1120"/>
    <mergeCell ref="F1120:G1120"/>
    <mergeCell ref="J1120:K1120"/>
    <mergeCell ref="B1108:D1108"/>
    <mergeCell ref="F1108:G1108"/>
    <mergeCell ref="B1117:E1117"/>
    <mergeCell ref="F1117:G1117"/>
    <mergeCell ref="J1117:K1117"/>
    <mergeCell ref="B1118:E1118"/>
    <mergeCell ref="F1118:G1118"/>
    <mergeCell ref="J1118:K1118"/>
    <mergeCell ref="B1096:D1096"/>
    <mergeCell ref="E1096:F1096"/>
    <mergeCell ref="H1096:I1096"/>
    <mergeCell ref="B1097:D1097"/>
    <mergeCell ref="E1097:F1097"/>
    <mergeCell ref="H1097:I1097"/>
    <mergeCell ref="B1094:D1094"/>
    <mergeCell ref="E1094:F1094"/>
    <mergeCell ref="H1094:I1094"/>
    <mergeCell ref="B1095:D1095"/>
    <mergeCell ref="E1095:F1095"/>
    <mergeCell ref="H1095:I1095"/>
    <mergeCell ref="B1081:D1081"/>
    <mergeCell ref="F1081:G1081"/>
    <mergeCell ref="I1081:J1081"/>
    <mergeCell ref="F1082:G1082"/>
    <mergeCell ref="I1082:J1082"/>
    <mergeCell ref="B1086:E1086"/>
    <mergeCell ref="F1086:G1086"/>
    <mergeCell ref="I1078:J1078"/>
    <mergeCell ref="B1079:D1079"/>
    <mergeCell ref="F1079:G1079"/>
    <mergeCell ref="I1079:J1079"/>
    <mergeCell ref="B1080:D1080"/>
    <mergeCell ref="F1080:G1080"/>
    <mergeCell ref="I1080:J1080"/>
    <mergeCell ref="I1074:J1074"/>
    <mergeCell ref="F1075:G1075"/>
    <mergeCell ref="I1075:J1075"/>
    <mergeCell ref="F1076:G1076"/>
    <mergeCell ref="I1076:J1076"/>
    <mergeCell ref="F1077:G1077"/>
    <mergeCell ref="I1077:J1077"/>
    <mergeCell ref="B1067:D1067"/>
    <mergeCell ref="F1067:G1067"/>
    <mergeCell ref="B1068:D1068"/>
    <mergeCell ref="F1068:G1068"/>
    <mergeCell ref="F1069:G1069"/>
    <mergeCell ref="F1070:G1070"/>
    <mergeCell ref="B1058:D1058"/>
    <mergeCell ref="F1058:G1058"/>
    <mergeCell ref="F1059:G1059"/>
    <mergeCell ref="F1060:G1060"/>
    <mergeCell ref="F1061:G1061"/>
    <mergeCell ref="F1062:G1062"/>
    <mergeCell ref="B1046:D1046"/>
    <mergeCell ref="F1046:G1046"/>
    <mergeCell ref="F1047:G1047"/>
    <mergeCell ref="F1051:G1051"/>
    <mergeCell ref="B1052:D1052"/>
    <mergeCell ref="F1052:G1052"/>
    <mergeCell ref="B1040:D1040"/>
    <mergeCell ref="F1040:G1040"/>
    <mergeCell ref="H1040:I1040"/>
    <mergeCell ref="B1044:D1044"/>
    <mergeCell ref="F1044:G1044"/>
    <mergeCell ref="B1045:D1045"/>
    <mergeCell ref="F1045:G1045"/>
    <mergeCell ref="B1027:D1027"/>
    <mergeCell ref="E1027:F1027"/>
    <mergeCell ref="G1027:H1027"/>
    <mergeCell ref="B1028:D1028"/>
    <mergeCell ref="E1028:F1028"/>
    <mergeCell ref="G1028:H1028"/>
    <mergeCell ref="B1017:D1017"/>
    <mergeCell ref="E1017:F1017"/>
    <mergeCell ref="G1017:H1017"/>
    <mergeCell ref="B1026:D1026"/>
    <mergeCell ref="E1026:F1026"/>
    <mergeCell ref="G1026:H1026"/>
    <mergeCell ref="I1007:J1007"/>
    <mergeCell ref="B1015:D1015"/>
    <mergeCell ref="E1015:F1015"/>
    <mergeCell ref="G1015:H1015"/>
    <mergeCell ref="B1016:D1016"/>
    <mergeCell ref="E1016:F1016"/>
    <mergeCell ref="G1016:H1016"/>
    <mergeCell ref="B999:F999"/>
    <mergeCell ref="G999:H999"/>
    <mergeCell ref="I1003:J1003"/>
    <mergeCell ref="I1004:J1004"/>
    <mergeCell ref="I1005:J1005"/>
    <mergeCell ref="I1006:J1006"/>
    <mergeCell ref="J990:K990"/>
    <mergeCell ref="J991:K991"/>
    <mergeCell ref="B992:E992"/>
    <mergeCell ref="F992:G992"/>
    <mergeCell ref="J992:K992"/>
    <mergeCell ref="B996:F996"/>
    <mergeCell ref="G996:H996"/>
    <mergeCell ref="F980:G980"/>
    <mergeCell ref="H980:I980"/>
    <mergeCell ref="B981:D981"/>
    <mergeCell ref="F981:G981"/>
    <mergeCell ref="H981:I981"/>
    <mergeCell ref="J989:K989"/>
    <mergeCell ref="F976:G976"/>
    <mergeCell ref="H976:I976"/>
    <mergeCell ref="B977:D977"/>
    <mergeCell ref="F977:G977"/>
    <mergeCell ref="H977:I977"/>
    <mergeCell ref="B978:D978"/>
    <mergeCell ref="F978:G978"/>
    <mergeCell ref="H978:I978"/>
    <mergeCell ref="F964:G964"/>
    <mergeCell ref="B968:D968"/>
    <mergeCell ref="B969:D969"/>
    <mergeCell ref="B970:D970"/>
    <mergeCell ref="F970:G970"/>
    <mergeCell ref="B971:D971"/>
    <mergeCell ref="F971:G971"/>
    <mergeCell ref="H955:I955"/>
    <mergeCell ref="B956:D956"/>
    <mergeCell ref="F956:G956"/>
    <mergeCell ref="H956:I956"/>
    <mergeCell ref="B957:D957"/>
    <mergeCell ref="F957:G957"/>
    <mergeCell ref="H957:I957"/>
    <mergeCell ref="I949:J949"/>
    <mergeCell ref="B950:F950"/>
    <mergeCell ref="G950:H950"/>
    <mergeCell ref="I950:J950"/>
    <mergeCell ref="B954:D954"/>
    <mergeCell ref="H954:I954"/>
    <mergeCell ref="J938:K938"/>
    <mergeCell ref="B946:F946"/>
    <mergeCell ref="G946:H946"/>
    <mergeCell ref="B947:F947"/>
    <mergeCell ref="G947:H947"/>
    <mergeCell ref="B948:F948"/>
    <mergeCell ref="G948:H948"/>
    <mergeCell ref="B936:E936"/>
    <mergeCell ref="F936:G936"/>
    <mergeCell ref="J936:K936"/>
    <mergeCell ref="B937:E937"/>
    <mergeCell ref="F937:G937"/>
    <mergeCell ref="J937:K937"/>
    <mergeCell ref="B930:E930"/>
    <mergeCell ref="F930:G930"/>
    <mergeCell ref="I930:J930"/>
    <mergeCell ref="I931:J931"/>
    <mergeCell ref="B935:E935"/>
    <mergeCell ref="F935:G935"/>
    <mergeCell ref="J935:K935"/>
    <mergeCell ref="B928:E928"/>
    <mergeCell ref="F928:G928"/>
    <mergeCell ref="I928:J928"/>
    <mergeCell ref="B929:E929"/>
    <mergeCell ref="F929:G929"/>
    <mergeCell ref="I929:J929"/>
    <mergeCell ref="B923:E923"/>
    <mergeCell ref="F923:G923"/>
    <mergeCell ref="J923:K923"/>
    <mergeCell ref="B927:E927"/>
    <mergeCell ref="F927:G927"/>
    <mergeCell ref="I927:J927"/>
    <mergeCell ref="J919:K919"/>
    <mergeCell ref="B920:E920"/>
    <mergeCell ref="J920:K920"/>
    <mergeCell ref="B921:E921"/>
    <mergeCell ref="J921:K921"/>
    <mergeCell ref="B922:E922"/>
    <mergeCell ref="F922:G922"/>
    <mergeCell ref="J922:K922"/>
    <mergeCell ref="G909:H909"/>
    <mergeCell ref="B910:D910"/>
    <mergeCell ref="E910:F910"/>
    <mergeCell ref="G910:H910"/>
    <mergeCell ref="B911:D911"/>
    <mergeCell ref="E911:F911"/>
    <mergeCell ref="G911:H911"/>
    <mergeCell ref="B897:D897"/>
    <mergeCell ref="E897:F897"/>
    <mergeCell ref="G897:H897"/>
    <mergeCell ref="E898:F898"/>
    <mergeCell ref="G898:H898"/>
    <mergeCell ref="E899:F899"/>
    <mergeCell ref="G899:H899"/>
    <mergeCell ref="G890:H890"/>
    <mergeCell ref="E891:F891"/>
    <mergeCell ref="G891:H891"/>
    <mergeCell ref="E892:F892"/>
    <mergeCell ref="G892:H892"/>
    <mergeCell ref="E893:F893"/>
    <mergeCell ref="G893:H893"/>
    <mergeCell ref="B880:D880"/>
    <mergeCell ref="E880:F880"/>
    <mergeCell ref="G880:H880"/>
    <mergeCell ref="B881:D881"/>
    <mergeCell ref="E881:F881"/>
    <mergeCell ref="G881:H881"/>
    <mergeCell ref="B878:D878"/>
    <mergeCell ref="E878:F878"/>
    <mergeCell ref="G878:H878"/>
    <mergeCell ref="B879:D879"/>
    <mergeCell ref="E879:F879"/>
    <mergeCell ref="G879:H879"/>
    <mergeCell ref="B872:D872"/>
    <mergeCell ref="E872:F872"/>
    <mergeCell ref="G872:H872"/>
    <mergeCell ref="J872:K872"/>
    <mergeCell ref="B873:D873"/>
    <mergeCell ref="E873:F873"/>
    <mergeCell ref="G873:H873"/>
    <mergeCell ref="J873:K873"/>
    <mergeCell ref="E867:F867"/>
    <mergeCell ref="G867:H867"/>
    <mergeCell ref="B871:D871"/>
    <mergeCell ref="E871:F871"/>
    <mergeCell ref="G871:H871"/>
    <mergeCell ref="J871:K871"/>
    <mergeCell ref="I856:J856"/>
    <mergeCell ref="B864:D864"/>
    <mergeCell ref="E864:F864"/>
    <mergeCell ref="G864:H864"/>
    <mergeCell ref="B865:D865"/>
    <mergeCell ref="E865:F865"/>
    <mergeCell ref="G865:H865"/>
    <mergeCell ref="I853:J853"/>
    <mergeCell ref="B854:E854"/>
    <mergeCell ref="F854:G854"/>
    <mergeCell ref="I854:J854"/>
    <mergeCell ref="B855:E855"/>
    <mergeCell ref="F855:G855"/>
    <mergeCell ref="I855:J855"/>
    <mergeCell ref="J847:K847"/>
    <mergeCell ref="B848:E848"/>
    <mergeCell ref="F848:G848"/>
    <mergeCell ref="J848:K848"/>
    <mergeCell ref="B852:E852"/>
    <mergeCell ref="F852:G852"/>
    <mergeCell ref="I852:J852"/>
    <mergeCell ref="J844:K844"/>
    <mergeCell ref="B845:E845"/>
    <mergeCell ref="F845:G845"/>
    <mergeCell ref="J845:K845"/>
    <mergeCell ref="B846:E846"/>
    <mergeCell ref="F846:G846"/>
    <mergeCell ref="J846:K846"/>
    <mergeCell ref="E822:F822"/>
    <mergeCell ref="G822:H822"/>
    <mergeCell ref="B823:D823"/>
    <mergeCell ref="E823:F823"/>
    <mergeCell ref="G823:H823"/>
    <mergeCell ref="B835:D835"/>
    <mergeCell ref="E835:F835"/>
    <mergeCell ref="G835:H835"/>
    <mergeCell ref="E809:F809"/>
    <mergeCell ref="G809:H809"/>
    <mergeCell ref="B816:D816"/>
    <mergeCell ref="E816:F816"/>
    <mergeCell ref="G816:H816"/>
    <mergeCell ref="B817:D817"/>
    <mergeCell ref="E817:F817"/>
    <mergeCell ref="G817:H817"/>
    <mergeCell ref="B801:D801"/>
    <mergeCell ref="E801:F801"/>
    <mergeCell ref="G801:H801"/>
    <mergeCell ref="B802:D802"/>
    <mergeCell ref="E802:F802"/>
    <mergeCell ref="G802:H802"/>
    <mergeCell ref="B796:D796"/>
    <mergeCell ref="E796:F796"/>
    <mergeCell ref="G796:H796"/>
    <mergeCell ref="B797:D797"/>
    <mergeCell ref="E797:F797"/>
    <mergeCell ref="G797:H797"/>
    <mergeCell ref="B794:D794"/>
    <mergeCell ref="E794:F794"/>
    <mergeCell ref="G794:H794"/>
    <mergeCell ref="B795:D795"/>
    <mergeCell ref="E795:F795"/>
    <mergeCell ref="G795:H795"/>
    <mergeCell ref="B786:D786"/>
    <mergeCell ref="E786:F786"/>
    <mergeCell ref="G786:H786"/>
    <mergeCell ref="B787:D787"/>
    <mergeCell ref="E787:F787"/>
    <mergeCell ref="G787:H787"/>
    <mergeCell ref="B780:D780"/>
    <mergeCell ref="E780:F780"/>
    <mergeCell ref="G780:H780"/>
    <mergeCell ref="B785:D785"/>
    <mergeCell ref="E785:F785"/>
    <mergeCell ref="G785:H785"/>
    <mergeCell ref="B778:D778"/>
    <mergeCell ref="E778:F778"/>
    <mergeCell ref="G778:H778"/>
    <mergeCell ref="B779:D779"/>
    <mergeCell ref="E779:F779"/>
    <mergeCell ref="G779:H779"/>
    <mergeCell ref="J762:K762"/>
    <mergeCell ref="B770:C770"/>
    <mergeCell ref="E770:F770"/>
    <mergeCell ref="G770:H770"/>
    <mergeCell ref="B771:C771"/>
    <mergeCell ref="E771:F771"/>
    <mergeCell ref="G771:H771"/>
    <mergeCell ref="B760:E760"/>
    <mergeCell ref="F760:G760"/>
    <mergeCell ref="J760:K760"/>
    <mergeCell ref="B761:E761"/>
    <mergeCell ref="F761:G761"/>
    <mergeCell ref="J761:K761"/>
    <mergeCell ref="B747:D747"/>
    <mergeCell ref="E747:F747"/>
    <mergeCell ref="G747:H747"/>
    <mergeCell ref="B759:E759"/>
    <mergeCell ref="F759:G759"/>
    <mergeCell ref="J759:K759"/>
    <mergeCell ref="B723:D723"/>
    <mergeCell ref="E723:F723"/>
    <mergeCell ref="G723:H723"/>
    <mergeCell ref="B724:D724"/>
    <mergeCell ref="E724:F724"/>
    <mergeCell ref="G724:H724"/>
    <mergeCell ref="E716:F716"/>
    <mergeCell ref="G716:H716"/>
    <mergeCell ref="B721:D721"/>
    <mergeCell ref="E721:F721"/>
    <mergeCell ref="G721:H721"/>
    <mergeCell ref="B722:D722"/>
    <mergeCell ref="E722:F722"/>
    <mergeCell ref="G722:H722"/>
    <mergeCell ref="B713:D713"/>
    <mergeCell ref="E713:F713"/>
    <mergeCell ref="G713:H713"/>
    <mergeCell ref="B714:D714"/>
    <mergeCell ref="E714:F714"/>
    <mergeCell ref="G714:H714"/>
    <mergeCell ref="B702:D702"/>
    <mergeCell ref="E702:F702"/>
    <mergeCell ref="G702:H702"/>
    <mergeCell ref="B712:D712"/>
    <mergeCell ref="E712:F712"/>
    <mergeCell ref="G712:H712"/>
    <mergeCell ref="B694:D694"/>
    <mergeCell ref="E694:F694"/>
    <mergeCell ref="G694:H694"/>
    <mergeCell ref="B701:D701"/>
    <mergeCell ref="E701:F701"/>
    <mergeCell ref="G701:H701"/>
    <mergeCell ref="B687:D687"/>
    <mergeCell ref="E687:F687"/>
    <mergeCell ref="G687:H687"/>
    <mergeCell ref="B688:D688"/>
    <mergeCell ref="E688:F688"/>
    <mergeCell ref="G688:H688"/>
    <mergeCell ref="B685:D685"/>
    <mergeCell ref="E685:F685"/>
    <mergeCell ref="G685:H685"/>
    <mergeCell ref="B686:D686"/>
    <mergeCell ref="E686:F686"/>
    <mergeCell ref="G686:H686"/>
    <mergeCell ref="B679:D679"/>
    <mergeCell ref="E679:F679"/>
    <mergeCell ref="G679:H679"/>
    <mergeCell ref="B683:D683"/>
    <mergeCell ref="E683:F683"/>
    <mergeCell ref="G683:H683"/>
    <mergeCell ref="E676:F676"/>
    <mergeCell ref="G676:H676"/>
    <mergeCell ref="B677:D677"/>
    <mergeCell ref="E677:F677"/>
    <mergeCell ref="G677:H677"/>
    <mergeCell ref="B678:D678"/>
    <mergeCell ref="E678:F678"/>
    <mergeCell ref="G678:H678"/>
    <mergeCell ref="B673:D673"/>
    <mergeCell ref="E673:F673"/>
    <mergeCell ref="G673:H673"/>
    <mergeCell ref="B674:D674"/>
    <mergeCell ref="E674:F674"/>
    <mergeCell ref="G674:H674"/>
    <mergeCell ref="E670:F670"/>
    <mergeCell ref="G670:H670"/>
    <mergeCell ref="B671:D671"/>
    <mergeCell ref="E671:F671"/>
    <mergeCell ref="G671:H671"/>
    <mergeCell ref="B672:D672"/>
    <mergeCell ref="E672:F672"/>
    <mergeCell ref="G672:H672"/>
    <mergeCell ref="B663:D663"/>
    <mergeCell ref="E663:F663"/>
    <mergeCell ref="G663:H663"/>
    <mergeCell ref="B664:D664"/>
    <mergeCell ref="E664:F664"/>
    <mergeCell ref="G664:H664"/>
    <mergeCell ref="B657:D657"/>
    <mergeCell ref="B658:D658"/>
    <mergeCell ref="B659:D659"/>
    <mergeCell ref="B660:D660"/>
    <mergeCell ref="B661:D661"/>
    <mergeCell ref="B662:D662"/>
    <mergeCell ref="B655:D655"/>
    <mergeCell ref="E655:F655"/>
    <mergeCell ref="G655:H655"/>
    <mergeCell ref="B656:D656"/>
    <mergeCell ref="E656:F656"/>
    <mergeCell ref="G656:H656"/>
    <mergeCell ref="B653:D653"/>
    <mergeCell ref="E653:F653"/>
    <mergeCell ref="G653:H653"/>
    <mergeCell ref="B654:D654"/>
    <mergeCell ref="E654:F654"/>
    <mergeCell ref="G654:H654"/>
    <mergeCell ref="B651:D651"/>
    <mergeCell ref="E651:F651"/>
    <mergeCell ref="G651:H651"/>
    <mergeCell ref="B652:D652"/>
    <mergeCell ref="E652:F652"/>
    <mergeCell ref="G652:H652"/>
    <mergeCell ref="E644:F644"/>
    <mergeCell ref="G644:H644"/>
    <mergeCell ref="B645:D645"/>
    <mergeCell ref="E645:F645"/>
    <mergeCell ref="G645:H645"/>
    <mergeCell ref="P645:P646"/>
    <mergeCell ref="B646:D646"/>
    <mergeCell ref="E646:F646"/>
    <mergeCell ref="G646:H646"/>
    <mergeCell ref="E632:F632"/>
    <mergeCell ref="G632:H632"/>
    <mergeCell ref="B641:D641"/>
    <mergeCell ref="E641:F641"/>
    <mergeCell ref="G641:H641"/>
    <mergeCell ref="B642:D642"/>
    <mergeCell ref="E642:F642"/>
    <mergeCell ref="G642:H642"/>
    <mergeCell ref="E624:F624"/>
    <mergeCell ref="G624:H624"/>
    <mergeCell ref="B629:D629"/>
    <mergeCell ref="E629:F629"/>
    <mergeCell ref="G629:H629"/>
    <mergeCell ref="B630:D630"/>
    <mergeCell ref="E630:F630"/>
    <mergeCell ref="G630:H630"/>
    <mergeCell ref="B621:D621"/>
    <mergeCell ref="E621:F621"/>
    <mergeCell ref="G621:H621"/>
    <mergeCell ref="B622:D622"/>
    <mergeCell ref="E622:F622"/>
    <mergeCell ref="G622:H622"/>
    <mergeCell ref="B616:C616"/>
    <mergeCell ref="E616:F616"/>
    <mergeCell ref="G616:H616"/>
    <mergeCell ref="B620:D620"/>
    <mergeCell ref="E620:F620"/>
    <mergeCell ref="G620:H620"/>
    <mergeCell ref="B614:C614"/>
    <mergeCell ref="E614:F614"/>
    <mergeCell ref="G614:H614"/>
    <mergeCell ref="B615:C615"/>
    <mergeCell ref="E615:F615"/>
    <mergeCell ref="G615:H615"/>
    <mergeCell ref="B612:C612"/>
    <mergeCell ref="E612:F612"/>
    <mergeCell ref="G612:H612"/>
    <mergeCell ref="B613:C613"/>
    <mergeCell ref="E613:F613"/>
    <mergeCell ref="G613:H613"/>
    <mergeCell ref="I591:J591"/>
    <mergeCell ref="B602:E602"/>
    <mergeCell ref="F602:G602"/>
    <mergeCell ref="B603:E603"/>
    <mergeCell ref="F603:G603"/>
    <mergeCell ref="B604:E604"/>
    <mergeCell ref="I588:J588"/>
    <mergeCell ref="B589:E589"/>
    <mergeCell ref="F589:G589"/>
    <mergeCell ref="I589:J589"/>
    <mergeCell ref="B590:E590"/>
    <mergeCell ref="F590:G590"/>
    <mergeCell ref="I590:J590"/>
    <mergeCell ref="F582:G582"/>
    <mergeCell ref="H582:I582"/>
    <mergeCell ref="B583:E583"/>
    <mergeCell ref="F583:G583"/>
    <mergeCell ref="H583:I583"/>
    <mergeCell ref="B584:E584"/>
    <mergeCell ref="F584:G584"/>
    <mergeCell ref="H584:I584"/>
    <mergeCell ref="H569:I569"/>
    <mergeCell ref="B573:E573"/>
    <mergeCell ref="H573:I573"/>
    <mergeCell ref="B574:E574"/>
    <mergeCell ref="H574:I574"/>
    <mergeCell ref="B575:E575"/>
    <mergeCell ref="H575:I575"/>
    <mergeCell ref="J562:K562"/>
    <mergeCell ref="B566:E566"/>
    <mergeCell ref="H566:I566"/>
    <mergeCell ref="B567:E567"/>
    <mergeCell ref="H567:I567"/>
    <mergeCell ref="B568:E568"/>
    <mergeCell ref="H568:I568"/>
    <mergeCell ref="J559:K559"/>
    <mergeCell ref="A560:A561"/>
    <mergeCell ref="B560:E561"/>
    <mergeCell ref="H560:H561"/>
    <mergeCell ref="I560:I561"/>
    <mergeCell ref="J560:K560"/>
    <mergeCell ref="J561:K561"/>
    <mergeCell ref="E549:F549"/>
    <mergeCell ref="G549:H549"/>
    <mergeCell ref="E550:F550"/>
    <mergeCell ref="G550:H550"/>
    <mergeCell ref="B558:E558"/>
    <mergeCell ref="J558:K558"/>
    <mergeCell ref="B542:D542"/>
    <mergeCell ref="E542:F542"/>
    <mergeCell ref="G542:H542"/>
    <mergeCell ref="E543:F543"/>
    <mergeCell ref="G543:H543"/>
    <mergeCell ref="B547:D547"/>
    <mergeCell ref="E547:F547"/>
    <mergeCell ref="G547:H547"/>
    <mergeCell ref="B540:D540"/>
    <mergeCell ref="E540:F540"/>
    <mergeCell ref="G540:H540"/>
    <mergeCell ref="B541:D541"/>
    <mergeCell ref="E541:F541"/>
    <mergeCell ref="G541:H541"/>
    <mergeCell ref="B534:E534"/>
    <mergeCell ref="F534:G534"/>
    <mergeCell ref="B535:E535"/>
    <mergeCell ref="F535:G535"/>
    <mergeCell ref="E539:F539"/>
    <mergeCell ref="G539:H539"/>
    <mergeCell ref="B531:E531"/>
    <mergeCell ref="F531:G531"/>
    <mergeCell ref="B532:E532"/>
    <mergeCell ref="F532:G532"/>
    <mergeCell ref="B533:E533"/>
    <mergeCell ref="F533:G533"/>
    <mergeCell ref="B524:E524"/>
    <mergeCell ref="F524:G524"/>
    <mergeCell ref="B525:E525"/>
    <mergeCell ref="F525:G525"/>
    <mergeCell ref="B526:E526"/>
    <mergeCell ref="F526:G526"/>
    <mergeCell ref="B518:E518"/>
    <mergeCell ref="F518:G518"/>
    <mergeCell ref="B519:E519"/>
    <mergeCell ref="F519:G519"/>
    <mergeCell ref="B520:E520"/>
    <mergeCell ref="F520:G520"/>
    <mergeCell ref="B510:C510"/>
    <mergeCell ref="E510:F510"/>
    <mergeCell ref="G510:H510"/>
    <mergeCell ref="B514:E514"/>
    <mergeCell ref="F514:G514"/>
    <mergeCell ref="B515:E515"/>
    <mergeCell ref="F515:G515"/>
    <mergeCell ref="B508:C508"/>
    <mergeCell ref="E508:F508"/>
    <mergeCell ref="G508:H508"/>
    <mergeCell ref="B509:C509"/>
    <mergeCell ref="E509:F509"/>
    <mergeCell ref="G509:H509"/>
    <mergeCell ref="B497:E497"/>
    <mergeCell ref="F497:G497"/>
    <mergeCell ref="B506:C506"/>
    <mergeCell ref="E506:F506"/>
    <mergeCell ref="G506:H506"/>
    <mergeCell ref="B507:C507"/>
    <mergeCell ref="E507:F507"/>
    <mergeCell ref="G507:H507"/>
    <mergeCell ref="B494:E494"/>
    <mergeCell ref="F494:G494"/>
    <mergeCell ref="B495:E495"/>
    <mergeCell ref="F495:G495"/>
    <mergeCell ref="B496:E496"/>
    <mergeCell ref="F496:G496"/>
    <mergeCell ref="B482:E482"/>
    <mergeCell ref="F482:G482"/>
    <mergeCell ref="B483:E483"/>
    <mergeCell ref="F483:G483"/>
    <mergeCell ref="B487:E487"/>
    <mergeCell ref="F487:G487"/>
    <mergeCell ref="I475:J475"/>
    <mergeCell ref="B476:E476"/>
    <mergeCell ref="I476:J476"/>
    <mergeCell ref="B480:E480"/>
    <mergeCell ref="B481:E481"/>
    <mergeCell ref="F481:G481"/>
    <mergeCell ref="J469:K469"/>
    <mergeCell ref="B473:E473"/>
    <mergeCell ref="F473:G473"/>
    <mergeCell ref="I473:J473"/>
    <mergeCell ref="B474:E474"/>
    <mergeCell ref="F474:G474"/>
    <mergeCell ref="I474:J474"/>
    <mergeCell ref="J465:K465"/>
    <mergeCell ref="B466:E466"/>
    <mergeCell ref="F466:G466"/>
    <mergeCell ref="J466:K466"/>
    <mergeCell ref="A467:A468"/>
    <mergeCell ref="B467:E468"/>
    <mergeCell ref="H467:H468"/>
    <mergeCell ref="I467:I468"/>
    <mergeCell ref="J467:K467"/>
    <mergeCell ref="J468:K468"/>
    <mergeCell ref="N449:O449"/>
    <mergeCell ref="E450:G450"/>
    <mergeCell ref="I450:L450"/>
    <mergeCell ref="N450:O450"/>
    <mergeCell ref="C452:I452"/>
    <mergeCell ref="B455:J457"/>
    <mergeCell ref="L441:M441"/>
    <mergeCell ref="N441:O441"/>
    <mergeCell ref="F446:H446"/>
    <mergeCell ref="M446:O446"/>
    <mergeCell ref="F447:H447"/>
    <mergeCell ref="J447:K447"/>
    <mergeCell ref="M447:O447"/>
    <mergeCell ref="L439:M439"/>
    <mergeCell ref="N439:O439"/>
    <mergeCell ref="B440:H440"/>
    <mergeCell ref="J440:K440"/>
    <mergeCell ref="L440:M440"/>
    <mergeCell ref="N440:O440"/>
    <mergeCell ref="L436:M436"/>
    <mergeCell ref="N436:O436"/>
    <mergeCell ref="B437:H437"/>
    <mergeCell ref="L437:M437"/>
    <mergeCell ref="N437:O437"/>
    <mergeCell ref="B438:H438"/>
    <mergeCell ref="J438:K438"/>
    <mergeCell ref="L438:M438"/>
    <mergeCell ref="N438:O438"/>
    <mergeCell ref="L433:M433"/>
    <mergeCell ref="N433:O433"/>
    <mergeCell ref="B434:H434"/>
    <mergeCell ref="L434:M434"/>
    <mergeCell ref="N434:O434"/>
    <mergeCell ref="B435:H435"/>
    <mergeCell ref="L435:M435"/>
    <mergeCell ref="N435:O435"/>
    <mergeCell ref="L431:M431"/>
    <mergeCell ref="N431:O431"/>
    <mergeCell ref="B432:H432"/>
    <mergeCell ref="J432:K432"/>
    <mergeCell ref="L432:M432"/>
    <mergeCell ref="N432:O432"/>
    <mergeCell ref="L429:M429"/>
    <mergeCell ref="N429:O429"/>
    <mergeCell ref="B430:H430"/>
    <mergeCell ref="J430:K430"/>
    <mergeCell ref="L430:M430"/>
    <mergeCell ref="N430:O430"/>
    <mergeCell ref="L427:M427"/>
    <mergeCell ref="N427:O427"/>
    <mergeCell ref="B428:H428"/>
    <mergeCell ref="J428:K428"/>
    <mergeCell ref="L428:M428"/>
    <mergeCell ref="N428:O428"/>
    <mergeCell ref="B425:H425"/>
    <mergeCell ref="J425:K425"/>
    <mergeCell ref="L425:M425"/>
    <mergeCell ref="N425:O425"/>
    <mergeCell ref="B426:H426"/>
    <mergeCell ref="J426:K426"/>
    <mergeCell ref="L426:M426"/>
    <mergeCell ref="N426:O426"/>
    <mergeCell ref="L423:M423"/>
    <mergeCell ref="N423:O423"/>
    <mergeCell ref="B424:H424"/>
    <mergeCell ref="J424:K424"/>
    <mergeCell ref="L424:M424"/>
    <mergeCell ref="N424:O424"/>
    <mergeCell ref="L416:M416"/>
    <mergeCell ref="N416:O416"/>
    <mergeCell ref="B417:H417"/>
    <mergeCell ref="J417:K417"/>
    <mergeCell ref="L417:M417"/>
    <mergeCell ref="N417:O417"/>
    <mergeCell ref="D406:N406"/>
    <mergeCell ref="B414:H415"/>
    <mergeCell ref="I414:I415"/>
    <mergeCell ref="J414:O414"/>
    <mergeCell ref="J415:K415"/>
    <mergeCell ref="L415:M415"/>
    <mergeCell ref="N415:O415"/>
    <mergeCell ref="J399:K399"/>
    <mergeCell ref="L399:M399"/>
    <mergeCell ref="N399:O399"/>
    <mergeCell ref="B400:H400"/>
    <mergeCell ref="J400:K400"/>
    <mergeCell ref="L400:M400"/>
    <mergeCell ref="N400:O400"/>
    <mergeCell ref="J397:K397"/>
    <mergeCell ref="L397:M397"/>
    <mergeCell ref="N397:O397"/>
    <mergeCell ref="B398:H398"/>
    <mergeCell ref="J398:K398"/>
    <mergeCell ref="L398:M398"/>
    <mergeCell ref="N398:O398"/>
    <mergeCell ref="J395:K395"/>
    <mergeCell ref="L395:M395"/>
    <mergeCell ref="N395:O395"/>
    <mergeCell ref="B396:H396"/>
    <mergeCell ref="J396:K396"/>
    <mergeCell ref="L396:M396"/>
    <mergeCell ref="N396:O396"/>
    <mergeCell ref="J393:K393"/>
    <mergeCell ref="L393:M393"/>
    <mergeCell ref="N393:O393"/>
    <mergeCell ref="B394:H394"/>
    <mergeCell ref="J394:K394"/>
    <mergeCell ref="L394:M394"/>
    <mergeCell ref="N394:O394"/>
    <mergeCell ref="J391:K391"/>
    <mergeCell ref="L391:M391"/>
    <mergeCell ref="N391:O391"/>
    <mergeCell ref="B392:H392"/>
    <mergeCell ref="J392:K392"/>
    <mergeCell ref="L392:M392"/>
    <mergeCell ref="N392:O392"/>
    <mergeCell ref="J389:K389"/>
    <mergeCell ref="L389:M389"/>
    <mergeCell ref="N389:O389"/>
    <mergeCell ref="B390:H390"/>
    <mergeCell ref="J390:K390"/>
    <mergeCell ref="L390:M390"/>
    <mergeCell ref="N390:O390"/>
    <mergeCell ref="J387:K387"/>
    <mergeCell ref="L387:M387"/>
    <mergeCell ref="N387:O387"/>
    <mergeCell ref="B388:H388"/>
    <mergeCell ref="J388:K388"/>
    <mergeCell ref="L388:M388"/>
    <mergeCell ref="N388:O388"/>
    <mergeCell ref="J385:K385"/>
    <mergeCell ref="L385:M385"/>
    <mergeCell ref="N385:O385"/>
    <mergeCell ref="B386:H386"/>
    <mergeCell ref="J386:K386"/>
    <mergeCell ref="L386:M386"/>
    <mergeCell ref="N386:O386"/>
    <mergeCell ref="I381:I383"/>
    <mergeCell ref="J381:O381"/>
    <mergeCell ref="J382:K383"/>
    <mergeCell ref="L382:M383"/>
    <mergeCell ref="N382:O383"/>
    <mergeCell ref="B384:H384"/>
    <mergeCell ref="J384:K384"/>
    <mergeCell ref="L384:M384"/>
    <mergeCell ref="N384:O384"/>
    <mergeCell ref="L376:M376"/>
    <mergeCell ref="N376:O376"/>
    <mergeCell ref="B377:H377"/>
    <mergeCell ref="J377:K377"/>
    <mergeCell ref="L377:M377"/>
    <mergeCell ref="N377:O377"/>
    <mergeCell ref="B363:O363"/>
    <mergeCell ref="B364:O364"/>
    <mergeCell ref="D365:N365"/>
    <mergeCell ref="D366:N366"/>
    <mergeCell ref="B373:H375"/>
    <mergeCell ref="I373:I375"/>
    <mergeCell ref="J373:O373"/>
    <mergeCell ref="J374:K375"/>
    <mergeCell ref="L374:M375"/>
    <mergeCell ref="N374:O375"/>
    <mergeCell ref="B360:C360"/>
    <mergeCell ref="D360:E360"/>
    <mergeCell ref="F360:G360"/>
    <mergeCell ref="B361:C361"/>
    <mergeCell ref="D361:E361"/>
    <mergeCell ref="F361:G361"/>
    <mergeCell ref="M355:O356"/>
    <mergeCell ref="F357:G357"/>
    <mergeCell ref="B358:C358"/>
    <mergeCell ref="D358:E358"/>
    <mergeCell ref="F358:G358"/>
    <mergeCell ref="B359:C359"/>
    <mergeCell ref="D359:E359"/>
    <mergeCell ref="F359:G359"/>
    <mergeCell ref="B349:C349"/>
    <mergeCell ref="D349:E349"/>
    <mergeCell ref="F349:G349"/>
    <mergeCell ref="B350:C350"/>
    <mergeCell ref="D350:E350"/>
    <mergeCell ref="F350:G350"/>
    <mergeCell ref="M343:O344"/>
    <mergeCell ref="B346:C346"/>
    <mergeCell ref="D346:E346"/>
    <mergeCell ref="B347:C347"/>
    <mergeCell ref="D347:E347"/>
    <mergeCell ref="B348:C348"/>
    <mergeCell ref="D348:E348"/>
    <mergeCell ref="O332:O333"/>
    <mergeCell ref="B333:H333"/>
    <mergeCell ref="B334:H334"/>
    <mergeCell ref="B335:H335"/>
    <mergeCell ref="B336:H336"/>
    <mergeCell ref="B337:H337"/>
    <mergeCell ref="I332:I333"/>
    <mergeCell ref="J332:J333"/>
    <mergeCell ref="K332:K333"/>
    <mergeCell ref="L332:L333"/>
    <mergeCell ref="M332:M333"/>
    <mergeCell ref="N332:N333"/>
    <mergeCell ref="B328:H328"/>
    <mergeCell ref="J328:K328"/>
    <mergeCell ref="L328:M328"/>
    <mergeCell ref="N328:O328"/>
    <mergeCell ref="B329:H329"/>
    <mergeCell ref="B330:H330"/>
    <mergeCell ref="F320:G320"/>
    <mergeCell ref="F321:G321"/>
    <mergeCell ref="B323:O323"/>
    <mergeCell ref="B326:H327"/>
    <mergeCell ref="I326:I327"/>
    <mergeCell ref="J326:O326"/>
    <mergeCell ref="J327:K327"/>
    <mergeCell ref="L327:M327"/>
    <mergeCell ref="N327:O327"/>
    <mergeCell ref="B317:D317"/>
    <mergeCell ref="F317:G317"/>
    <mergeCell ref="B318:D318"/>
    <mergeCell ref="F318:G318"/>
    <mergeCell ref="B319:D319"/>
    <mergeCell ref="F319:G319"/>
    <mergeCell ref="J310:L311"/>
    <mergeCell ref="M310:O311"/>
    <mergeCell ref="F312:G312"/>
    <mergeCell ref="F313:G313"/>
    <mergeCell ref="F314:G314"/>
    <mergeCell ref="F315:G315"/>
    <mergeCell ref="J305:K305"/>
    <mergeCell ref="L305:M305"/>
    <mergeCell ref="N305:O305"/>
    <mergeCell ref="B306:H306"/>
    <mergeCell ref="J306:K306"/>
    <mergeCell ref="L306:M306"/>
    <mergeCell ref="N306:O306"/>
    <mergeCell ref="J303:K303"/>
    <mergeCell ref="L303:M303"/>
    <mergeCell ref="N303:O303"/>
    <mergeCell ref="B304:H304"/>
    <mergeCell ref="J304:K304"/>
    <mergeCell ref="L304:M304"/>
    <mergeCell ref="N304:O304"/>
    <mergeCell ref="J300:K300"/>
    <mergeCell ref="L300:M300"/>
    <mergeCell ref="N300:O300"/>
    <mergeCell ref="B301:H301"/>
    <mergeCell ref="I301:I302"/>
    <mergeCell ref="J301:K302"/>
    <mergeCell ref="L301:M302"/>
    <mergeCell ref="N301:O302"/>
    <mergeCell ref="B302:H302"/>
    <mergeCell ref="J298:K298"/>
    <mergeCell ref="L298:M298"/>
    <mergeCell ref="N298:O298"/>
    <mergeCell ref="B299:H299"/>
    <mergeCell ref="J299:K299"/>
    <mergeCell ref="L299:M299"/>
    <mergeCell ref="N299:O299"/>
    <mergeCell ref="I295:I296"/>
    <mergeCell ref="J295:O295"/>
    <mergeCell ref="J296:K296"/>
    <mergeCell ref="L296:M296"/>
    <mergeCell ref="N296:O296"/>
    <mergeCell ref="B297:H297"/>
    <mergeCell ref="J297:K297"/>
    <mergeCell ref="L297:M297"/>
    <mergeCell ref="N297:O297"/>
    <mergeCell ref="B279:M279"/>
    <mergeCell ref="B280:M280"/>
    <mergeCell ref="G282:M282"/>
    <mergeCell ref="B283:D283"/>
    <mergeCell ref="G283:M283"/>
    <mergeCell ref="B290:N290"/>
    <mergeCell ref="I272:L272"/>
    <mergeCell ref="N272:O272"/>
    <mergeCell ref="E273:G273"/>
    <mergeCell ref="I273:L273"/>
    <mergeCell ref="N273:O273"/>
    <mergeCell ref="C275:I275"/>
    <mergeCell ref="B266:G266"/>
    <mergeCell ref="F269:H269"/>
    <mergeCell ref="M269:O269"/>
    <mergeCell ref="F270:H270"/>
    <mergeCell ref="J270:K270"/>
    <mergeCell ref="M270:O270"/>
    <mergeCell ref="B256:G256"/>
    <mergeCell ref="B257:G257"/>
    <mergeCell ref="B258:G258"/>
    <mergeCell ref="B259:G259"/>
    <mergeCell ref="B260:G260"/>
    <mergeCell ref="B261:G261"/>
    <mergeCell ref="B246:G246"/>
    <mergeCell ref="B247:G247"/>
    <mergeCell ref="B248:G248"/>
    <mergeCell ref="B249:G249"/>
    <mergeCell ref="B250:G250"/>
    <mergeCell ref="B251:G251"/>
    <mergeCell ref="A233:A235"/>
    <mergeCell ref="B233:G235"/>
    <mergeCell ref="H233:H235"/>
    <mergeCell ref="I233:I235"/>
    <mergeCell ref="J233:J235"/>
    <mergeCell ref="K233:O233"/>
    <mergeCell ref="K234:L234"/>
    <mergeCell ref="M234:N234"/>
    <mergeCell ref="K235:L235"/>
    <mergeCell ref="M235:N235"/>
    <mergeCell ref="A224:D224"/>
    <mergeCell ref="A225:D225"/>
    <mergeCell ref="A226:D226"/>
    <mergeCell ref="A227:D227"/>
    <mergeCell ref="A228:D228"/>
    <mergeCell ref="B231:N231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5:D205"/>
    <mergeCell ref="A206:D206"/>
    <mergeCell ref="A207:D207"/>
    <mergeCell ref="A208:D208"/>
    <mergeCell ref="A209:D209"/>
    <mergeCell ref="A210:D210"/>
    <mergeCell ref="A182:D182"/>
    <mergeCell ref="A183:D183"/>
    <mergeCell ref="A184:D184"/>
    <mergeCell ref="A185:D185"/>
    <mergeCell ref="A186:D186"/>
    <mergeCell ref="A187:D187"/>
    <mergeCell ref="H163:N163"/>
    <mergeCell ref="O163:O165"/>
    <mergeCell ref="H164:N164"/>
    <mergeCell ref="A166:D166"/>
    <mergeCell ref="A167:D167"/>
    <mergeCell ref="A168:D168"/>
    <mergeCell ref="A150:D150"/>
    <mergeCell ref="A151:D151"/>
    <mergeCell ref="A152:D152"/>
    <mergeCell ref="A153:D153"/>
    <mergeCell ref="A154:D154"/>
    <mergeCell ref="A155:D155"/>
    <mergeCell ref="A138:D138"/>
    <mergeCell ref="A139:D139"/>
    <mergeCell ref="A140:D140"/>
    <mergeCell ref="A141:D141"/>
    <mergeCell ref="A142:D142"/>
    <mergeCell ref="A143:D143"/>
    <mergeCell ref="A132:D132"/>
    <mergeCell ref="A133:D133"/>
    <mergeCell ref="A134:D134"/>
    <mergeCell ref="A135:D135"/>
    <mergeCell ref="A136:D136"/>
    <mergeCell ref="A137:D137"/>
    <mergeCell ref="A125:D125"/>
    <mergeCell ref="A126:D126"/>
    <mergeCell ref="A127:D127"/>
    <mergeCell ref="A128:D128"/>
    <mergeCell ref="A129:D129"/>
    <mergeCell ref="A130:D130"/>
    <mergeCell ref="A119:D119"/>
    <mergeCell ref="A120:D120"/>
    <mergeCell ref="A121:D121"/>
    <mergeCell ref="A122:D122"/>
    <mergeCell ref="A123:D123"/>
    <mergeCell ref="A124:D124"/>
    <mergeCell ref="A107:D107"/>
    <mergeCell ref="A108:D108"/>
    <mergeCell ref="A109:D109"/>
    <mergeCell ref="A110:D110"/>
    <mergeCell ref="A111:D111"/>
    <mergeCell ref="A112:D112"/>
    <mergeCell ref="A99:D99"/>
    <mergeCell ref="A100:D100"/>
    <mergeCell ref="A101:D101"/>
    <mergeCell ref="A102:D102"/>
    <mergeCell ref="A103:D103"/>
    <mergeCell ref="A104:D104"/>
    <mergeCell ref="G94:G96"/>
    <mergeCell ref="H94:N94"/>
    <mergeCell ref="O94:O96"/>
    <mergeCell ref="H95:N95"/>
    <mergeCell ref="A97:D97"/>
    <mergeCell ref="A98:D98"/>
    <mergeCell ref="A89:D89"/>
    <mergeCell ref="A90:D90"/>
    <mergeCell ref="A91:D91"/>
    <mergeCell ref="A94:D96"/>
    <mergeCell ref="E94:E96"/>
    <mergeCell ref="F94:F96"/>
    <mergeCell ref="A82:D82"/>
    <mergeCell ref="A83:D83"/>
    <mergeCell ref="A84:D84"/>
    <mergeCell ref="A85:D85"/>
    <mergeCell ref="A86:D86"/>
    <mergeCell ref="A87:D87"/>
    <mergeCell ref="A76:D76"/>
    <mergeCell ref="A77:D77"/>
    <mergeCell ref="A78:D78"/>
    <mergeCell ref="A79:D79"/>
    <mergeCell ref="A80:D80"/>
    <mergeCell ref="A81:D81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1:D51"/>
    <mergeCell ref="A52:D52"/>
    <mergeCell ref="A53:D53"/>
    <mergeCell ref="A54:D54"/>
    <mergeCell ref="A55:D55"/>
    <mergeCell ref="A56:D56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G22:G24"/>
    <mergeCell ref="H22:N22"/>
    <mergeCell ref="O22:O24"/>
    <mergeCell ref="H23:N23"/>
    <mergeCell ref="A25:D25"/>
    <mergeCell ref="A26:D26"/>
    <mergeCell ref="O17:O18"/>
    <mergeCell ref="G18:K18"/>
    <mergeCell ref="B320:D320"/>
    <mergeCell ref="B321:D321"/>
    <mergeCell ref="B315:D315"/>
    <mergeCell ref="L3:O3"/>
    <mergeCell ref="L4:O4"/>
    <mergeCell ref="L6:O9"/>
    <mergeCell ref="N11:O11"/>
    <mergeCell ref="L14:O14"/>
    <mergeCell ref="G16:K17"/>
    <mergeCell ref="B20:O20"/>
    <mergeCell ref="A22:D24"/>
    <mergeCell ref="E22:E24"/>
    <mergeCell ref="F22:F24"/>
    <mergeCell ref="A45:D45"/>
    <mergeCell ref="A46:D46"/>
    <mergeCell ref="A47:D47"/>
    <mergeCell ref="A48:D48"/>
    <mergeCell ref="A49:D49"/>
    <mergeCell ref="A50:D50"/>
    <mergeCell ref="A57:D57"/>
    <mergeCell ref="A58:D58"/>
    <mergeCell ref="A59:D59"/>
    <mergeCell ref="A60:D60"/>
    <mergeCell ref="A73:D73"/>
    <mergeCell ref="A74:D74"/>
    <mergeCell ref="A75:D75"/>
    <mergeCell ref="A88:D88"/>
    <mergeCell ref="A105:D105"/>
    <mergeCell ref="A106:D106"/>
    <mergeCell ref="A113:D113"/>
    <mergeCell ref="A114:D114"/>
    <mergeCell ref="A115:D115"/>
    <mergeCell ref="A116:D116"/>
    <mergeCell ref="A117:D117"/>
    <mergeCell ref="A118:D118"/>
    <mergeCell ref="A131:D131"/>
    <mergeCell ref="A144:D144"/>
    <mergeCell ref="A145:D145"/>
    <mergeCell ref="A146:D146"/>
    <mergeCell ref="A147:D147"/>
    <mergeCell ref="A148:D148"/>
    <mergeCell ref="A149:D149"/>
    <mergeCell ref="A156:D156"/>
    <mergeCell ref="A157:D157"/>
    <mergeCell ref="A158:D158"/>
    <mergeCell ref="A159:D159"/>
    <mergeCell ref="A160:D160"/>
    <mergeCell ref="A163:D165"/>
    <mergeCell ref="E163:E165"/>
    <mergeCell ref="F163:F165"/>
    <mergeCell ref="G163:G165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23:D223"/>
    <mergeCell ref="B236:G236"/>
    <mergeCell ref="B237:G237"/>
    <mergeCell ref="B238:G238"/>
    <mergeCell ref="B239:G239"/>
    <mergeCell ref="B240:G240"/>
    <mergeCell ref="B241:G241"/>
    <mergeCell ref="B242:G242"/>
    <mergeCell ref="B243:G243"/>
    <mergeCell ref="B244:G244"/>
    <mergeCell ref="B245:G245"/>
    <mergeCell ref="B252:G252"/>
    <mergeCell ref="B253:G253"/>
    <mergeCell ref="B254:G254"/>
    <mergeCell ref="B255:G255"/>
    <mergeCell ref="B262:G262"/>
    <mergeCell ref="B263:G263"/>
    <mergeCell ref="B264:G264"/>
    <mergeCell ref="B265:G265"/>
    <mergeCell ref="D272:G272"/>
    <mergeCell ref="B291:N291"/>
    <mergeCell ref="B295:H296"/>
    <mergeCell ref="B298:H298"/>
    <mergeCell ref="B300:H300"/>
    <mergeCell ref="B303:H303"/>
    <mergeCell ref="B305:H305"/>
    <mergeCell ref="B313:D313"/>
    <mergeCell ref="B310:D312"/>
    <mergeCell ref="E310:E312"/>
    <mergeCell ref="F310:I311"/>
    <mergeCell ref="B314:D314"/>
    <mergeCell ref="B316:D316"/>
    <mergeCell ref="F316:G316"/>
    <mergeCell ref="B331:H331"/>
    <mergeCell ref="B332:H332"/>
    <mergeCell ref="B338:H338"/>
    <mergeCell ref="B340:O340"/>
    <mergeCell ref="B343:C345"/>
    <mergeCell ref="D343:E345"/>
    <mergeCell ref="F345:G345"/>
    <mergeCell ref="F343:I344"/>
    <mergeCell ref="J343:L344"/>
    <mergeCell ref="F346:G346"/>
    <mergeCell ref="F347:G347"/>
    <mergeCell ref="B352:O352"/>
    <mergeCell ref="B355:C357"/>
    <mergeCell ref="D355:E357"/>
    <mergeCell ref="F355:I356"/>
    <mergeCell ref="J355:L356"/>
    <mergeCell ref="B376:H376"/>
    <mergeCell ref="J376:K376"/>
    <mergeCell ref="B381:H383"/>
    <mergeCell ref="B385:H385"/>
    <mergeCell ref="B387:H387"/>
    <mergeCell ref="B389:H389"/>
    <mergeCell ref="B391:H391"/>
    <mergeCell ref="B393:H393"/>
    <mergeCell ref="B395:H395"/>
    <mergeCell ref="B397:H397"/>
    <mergeCell ref="B399:H399"/>
    <mergeCell ref="B402:O402"/>
    <mergeCell ref="B403:O403"/>
    <mergeCell ref="D405:N405"/>
    <mergeCell ref="B416:H416"/>
    <mergeCell ref="J416:K416"/>
    <mergeCell ref="B422:H423"/>
    <mergeCell ref="I422:I423"/>
    <mergeCell ref="J422:O422"/>
    <mergeCell ref="J423:K423"/>
    <mergeCell ref="B427:H427"/>
    <mergeCell ref="J427:K427"/>
    <mergeCell ref="B429:H429"/>
    <mergeCell ref="J429:K429"/>
    <mergeCell ref="J434:K434"/>
    <mergeCell ref="B431:H431"/>
    <mergeCell ref="J431:K431"/>
    <mergeCell ref="B433:H433"/>
    <mergeCell ref="J433:K433"/>
    <mergeCell ref="J435:K435"/>
    <mergeCell ref="J436:K436"/>
    <mergeCell ref="B436:H436"/>
    <mergeCell ref="J437:K437"/>
    <mergeCell ref="B439:H439"/>
    <mergeCell ref="J439:K439"/>
    <mergeCell ref="B441:H441"/>
    <mergeCell ref="J441:K441"/>
    <mergeCell ref="D449:G449"/>
    <mergeCell ref="I449:L449"/>
    <mergeCell ref="F467:G467"/>
    <mergeCell ref="B465:E465"/>
    <mergeCell ref="F465:G465"/>
    <mergeCell ref="F468:G468"/>
    <mergeCell ref="F469:G469"/>
    <mergeCell ref="B469:E469"/>
    <mergeCell ref="F475:G475"/>
    <mergeCell ref="F476:G476"/>
    <mergeCell ref="B475:E475"/>
    <mergeCell ref="F480:G480"/>
    <mergeCell ref="B488:E488"/>
    <mergeCell ref="F488:G488"/>
    <mergeCell ref="B489:E489"/>
    <mergeCell ref="F489:G489"/>
    <mergeCell ref="B516:E516"/>
    <mergeCell ref="F516:G516"/>
    <mergeCell ref="B517:E517"/>
    <mergeCell ref="F517:G517"/>
    <mergeCell ref="B527:E527"/>
    <mergeCell ref="F527:G527"/>
    <mergeCell ref="B539:D539"/>
    <mergeCell ref="B543:D543"/>
    <mergeCell ref="B550:D550"/>
    <mergeCell ref="B548:D548"/>
    <mergeCell ref="E548:F548"/>
    <mergeCell ref="G548:H548"/>
    <mergeCell ref="B549:D549"/>
    <mergeCell ref="F558:G558"/>
    <mergeCell ref="F559:G559"/>
    <mergeCell ref="F560:G560"/>
    <mergeCell ref="B559:E559"/>
    <mergeCell ref="F561:G561"/>
    <mergeCell ref="F562:G562"/>
    <mergeCell ref="F566:G566"/>
    <mergeCell ref="B562:E562"/>
    <mergeCell ref="F567:G567"/>
    <mergeCell ref="F568:G568"/>
    <mergeCell ref="F569:G569"/>
    <mergeCell ref="B569:E569"/>
    <mergeCell ref="F573:G573"/>
    <mergeCell ref="F574:G574"/>
    <mergeCell ref="F575:G575"/>
    <mergeCell ref="F576:G576"/>
    <mergeCell ref="B576:E576"/>
    <mergeCell ref="H576:I576"/>
    <mergeCell ref="F577:G577"/>
    <mergeCell ref="B577:E577"/>
    <mergeCell ref="H577:I577"/>
    <mergeCell ref="F581:G581"/>
    <mergeCell ref="B581:E581"/>
    <mergeCell ref="H581:I581"/>
    <mergeCell ref="B582:E582"/>
    <mergeCell ref="B588:E588"/>
    <mergeCell ref="F588:G588"/>
    <mergeCell ref="B591:E591"/>
    <mergeCell ref="F591:G591"/>
    <mergeCell ref="F604:G604"/>
    <mergeCell ref="F605:G605"/>
    <mergeCell ref="B605:E605"/>
    <mergeCell ref="B623:D623"/>
    <mergeCell ref="E623:F623"/>
    <mergeCell ref="G623:H623"/>
    <mergeCell ref="B624:D624"/>
    <mergeCell ref="B631:D631"/>
    <mergeCell ref="E631:F631"/>
    <mergeCell ref="G631:H631"/>
    <mergeCell ref="B632:D632"/>
    <mergeCell ref="B643:D643"/>
    <mergeCell ref="E643:F643"/>
    <mergeCell ref="G643:H643"/>
    <mergeCell ref="B644:D644"/>
    <mergeCell ref="G657:H657"/>
    <mergeCell ref="E657:F657"/>
    <mergeCell ref="B647:D647"/>
    <mergeCell ref="E647:F647"/>
    <mergeCell ref="G647:H647"/>
    <mergeCell ref="G659:H659"/>
    <mergeCell ref="E659:F659"/>
    <mergeCell ref="G658:H658"/>
    <mergeCell ref="E658:F658"/>
    <mergeCell ref="G661:H661"/>
    <mergeCell ref="E661:F661"/>
    <mergeCell ref="G660:H660"/>
    <mergeCell ref="E660:F660"/>
    <mergeCell ref="E662:F662"/>
    <mergeCell ref="G662:H662"/>
    <mergeCell ref="B668:D668"/>
    <mergeCell ref="E668:F668"/>
    <mergeCell ref="G668:H668"/>
    <mergeCell ref="B669:D669"/>
    <mergeCell ref="E669:F669"/>
    <mergeCell ref="G669:H669"/>
    <mergeCell ref="B670:D670"/>
    <mergeCell ref="B675:D675"/>
    <mergeCell ref="E675:F675"/>
    <mergeCell ref="G675:H675"/>
    <mergeCell ref="B676:D676"/>
    <mergeCell ref="B684:D684"/>
    <mergeCell ref="E684:F684"/>
    <mergeCell ref="G684:H684"/>
    <mergeCell ref="G691:H691"/>
    <mergeCell ref="E691:F691"/>
    <mergeCell ref="B691:D691"/>
    <mergeCell ref="G693:H693"/>
    <mergeCell ref="E693:F693"/>
    <mergeCell ref="B693:D693"/>
    <mergeCell ref="G692:H692"/>
    <mergeCell ref="E692:F692"/>
    <mergeCell ref="B692:D692"/>
    <mergeCell ref="G698:H698"/>
    <mergeCell ref="E698:F698"/>
    <mergeCell ref="B698:D698"/>
    <mergeCell ref="G697:H697"/>
    <mergeCell ref="E697:F697"/>
    <mergeCell ref="B697:D697"/>
    <mergeCell ref="G700:H700"/>
    <mergeCell ref="E700:F700"/>
    <mergeCell ref="B700:D700"/>
    <mergeCell ref="G699:H699"/>
    <mergeCell ref="E699:F699"/>
    <mergeCell ref="B699:D699"/>
    <mergeCell ref="B715:D715"/>
    <mergeCell ref="E715:F715"/>
    <mergeCell ref="G715:H715"/>
    <mergeCell ref="B716:D716"/>
    <mergeCell ref="G729:H729"/>
    <mergeCell ref="E729:F729"/>
    <mergeCell ref="B729:D729"/>
    <mergeCell ref="G728:H728"/>
    <mergeCell ref="E728:F728"/>
    <mergeCell ref="B728:D728"/>
    <mergeCell ref="G730:H730"/>
    <mergeCell ref="E730:F730"/>
    <mergeCell ref="B730:D730"/>
    <mergeCell ref="G740:H740"/>
    <mergeCell ref="E740:F740"/>
    <mergeCell ref="B740:D740"/>
    <mergeCell ref="G742:H742"/>
    <mergeCell ref="E742:F742"/>
    <mergeCell ref="B742:D742"/>
    <mergeCell ref="G741:H741"/>
    <mergeCell ref="E741:F741"/>
    <mergeCell ref="B741:D741"/>
    <mergeCell ref="G743:H743"/>
    <mergeCell ref="E743:F743"/>
    <mergeCell ref="B743:D743"/>
    <mergeCell ref="G749:H749"/>
    <mergeCell ref="E749:F749"/>
    <mergeCell ref="B749:D749"/>
    <mergeCell ref="G748:H748"/>
    <mergeCell ref="E748:F748"/>
    <mergeCell ref="B748:D748"/>
    <mergeCell ref="G750:H750"/>
    <mergeCell ref="E750:F750"/>
    <mergeCell ref="B750:D750"/>
    <mergeCell ref="B762:E762"/>
    <mergeCell ref="F762:G762"/>
    <mergeCell ref="G773:H773"/>
    <mergeCell ref="E773:F773"/>
    <mergeCell ref="G772:H772"/>
    <mergeCell ref="E772:F772"/>
    <mergeCell ref="B772:C772"/>
    <mergeCell ref="B773:C773"/>
    <mergeCell ref="G777:H777"/>
    <mergeCell ref="E777:F777"/>
    <mergeCell ref="B777:D777"/>
    <mergeCell ref="G781:H781"/>
    <mergeCell ref="E781:F781"/>
    <mergeCell ref="B781:D781"/>
    <mergeCell ref="G789:H789"/>
    <mergeCell ref="E789:F789"/>
    <mergeCell ref="B789:D789"/>
    <mergeCell ref="G788:H788"/>
    <mergeCell ref="E788:F788"/>
    <mergeCell ref="B788:D788"/>
    <mergeCell ref="G790:H790"/>
    <mergeCell ref="E790:F790"/>
    <mergeCell ref="B790:D790"/>
    <mergeCell ref="G804:H804"/>
    <mergeCell ref="E804:F804"/>
    <mergeCell ref="B804:D804"/>
    <mergeCell ref="G803:H803"/>
    <mergeCell ref="E803:F803"/>
    <mergeCell ref="B803:D803"/>
    <mergeCell ref="G806:H806"/>
    <mergeCell ref="E806:F806"/>
    <mergeCell ref="B806:D806"/>
    <mergeCell ref="G805:H805"/>
    <mergeCell ref="E805:F805"/>
    <mergeCell ref="B805:D805"/>
    <mergeCell ref="G807:H807"/>
    <mergeCell ref="E807:F807"/>
    <mergeCell ref="B807:D807"/>
    <mergeCell ref="B808:D808"/>
    <mergeCell ref="E808:F808"/>
    <mergeCell ref="G808:H808"/>
    <mergeCell ref="B809:D809"/>
    <mergeCell ref="G814:H814"/>
    <mergeCell ref="E814:F814"/>
    <mergeCell ref="B814:D814"/>
    <mergeCell ref="G813:H813"/>
    <mergeCell ref="E813:F813"/>
    <mergeCell ref="B813:D813"/>
    <mergeCell ref="G824:H824"/>
    <mergeCell ref="E824:F824"/>
    <mergeCell ref="B824:D824"/>
    <mergeCell ref="G815:H815"/>
    <mergeCell ref="E815:F815"/>
    <mergeCell ref="B815:D815"/>
    <mergeCell ref="B821:D821"/>
    <mergeCell ref="E821:F821"/>
    <mergeCell ref="G821:H821"/>
    <mergeCell ref="B822:D822"/>
    <mergeCell ref="G826:H826"/>
    <mergeCell ref="E826:F826"/>
    <mergeCell ref="B826:D826"/>
    <mergeCell ref="G825:H825"/>
    <mergeCell ref="E825:F825"/>
    <mergeCell ref="B825:D825"/>
    <mergeCell ref="G831:H831"/>
    <mergeCell ref="E831:F831"/>
    <mergeCell ref="B831:D831"/>
    <mergeCell ref="G827:H827"/>
    <mergeCell ref="E827:F827"/>
    <mergeCell ref="B827:D827"/>
    <mergeCell ref="G833:H833"/>
    <mergeCell ref="E833:F833"/>
    <mergeCell ref="B833:D833"/>
    <mergeCell ref="G832:H832"/>
    <mergeCell ref="E832:F832"/>
    <mergeCell ref="B832:D832"/>
    <mergeCell ref="G834:H834"/>
    <mergeCell ref="E834:F834"/>
    <mergeCell ref="B834:D834"/>
    <mergeCell ref="B844:E844"/>
    <mergeCell ref="F844:G844"/>
    <mergeCell ref="B847:E847"/>
    <mergeCell ref="F847:G847"/>
    <mergeCell ref="B853:E853"/>
    <mergeCell ref="F853:G853"/>
    <mergeCell ref="B856:E856"/>
    <mergeCell ref="F856:G856"/>
    <mergeCell ref="B866:D866"/>
    <mergeCell ref="E866:F866"/>
    <mergeCell ref="G866:H866"/>
    <mergeCell ref="B867:D867"/>
    <mergeCell ref="B874:D874"/>
    <mergeCell ref="E874:F874"/>
    <mergeCell ref="G874:H874"/>
    <mergeCell ref="J874:K874"/>
    <mergeCell ref="B891:D891"/>
    <mergeCell ref="B890:D890"/>
    <mergeCell ref="E890:F890"/>
    <mergeCell ref="B893:D893"/>
    <mergeCell ref="B892:D892"/>
    <mergeCell ref="B899:D899"/>
    <mergeCell ref="B898:D898"/>
    <mergeCell ref="B900:D900"/>
    <mergeCell ref="E900:F900"/>
    <mergeCell ref="G900:H900"/>
    <mergeCell ref="B908:D908"/>
    <mergeCell ref="E908:F908"/>
    <mergeCell ref="G908:H908"/>
    <mergeCell ref="B909:D909"/>
    <mergeCell ref="E909:F909"/>
    <mergeCell ref="F921:G921"/>
    <mergeCell ref="F920:G920"/>
    <mergeCell ref="F919:G919"/>
    <mergeCell ref="B919:E919"/>
    <mergeCell ref="F931:G931"/>
    <mergeCell ref="B931:E931"/>
    <mergeCell ref="F938:G938"/>
    <mergeCell ref="B938:E938"/>
    <mergeCell ref="I946:J946"/>
    <mergeCell ref="I948:J948"/>
    <mergeCell ref="I947:J947"/>
    <mergeCell ref="B949:F949"/>
    <mergeCell ref="G949:H949"/>
    <mergeCell ref="F955:G955"/>
    <mergeCell ref="F954:G954"/>
    <mergeCell ref="B955:D955"/>
    <mergeCell ref="F961:G961"/>
    <mergeCell ref="B961:D961"/>
    <mergeCell ref="F962:G962"/>
    <mergeCell ref="B962:D962"/>
    <mergeCell ref="B963:D963"/>
    <mergeCell ref="F963:G963"/>
    <mergeCell ref="B964:D964"/>
    <mergeCell ref="F969:G969"/>
    <mergeCell ref="F968:G968"/>
    <mergeCell ref="B972:D972"/>
    <mergeCell ref="F972:G972"/>
    <mergeCell ref="B976:D976"/>
    <mergeCell ref="B979:D979"/>
    <mergeCell ref="F979:G979"/>
    <mergeCell ref="H979:I979"/>
    <mergeCell ref="B980:D980"/>
    <mergeCell ref="F989:G989"/>
    <mergeCell ref="B989:E989"/>
    <mergeCell ref="F991:G991"/>
    <mergeCell ref="B991:E991"/>
    <mergeCell ref="F990:G990"/>
    <mergeCell ref="B990:E990"/>
    <mergeCell ref="B997:F997"/>
    <mergeCell ref="G997:H997"/>
    <mergeCell ref="B998:F998"/>
    <mergeCell ref="G998:H998"/>
    <mergeCell ref="F1004:G1004"/>
    <mergeCell ref="B1004:E1004"/>
    <mergeCell ref="F1003:G1003"/>
    <mergeCell ref="B1003:E1003"/>
    <mergeCell ref="F1006:G1006"/>
    <mergeCell ref="B1006:E1006"/>
    <mergeCell ref="F1005:G1005"/>
    <mergeCell ref="B1005:E1005"/>
    <mergeCell ref="B1007:E1007"/>
    <mergeCell ref="F1007:G1007"/>
    <mergeCell ref="G1018:H1018"/>
    <mergeCell ref="E1018:F1018"/>
    <mergeCell ref="B1018:D1018"/>
    <mergeCell ref="B1029:D1029"/>
    <mergeCell ref="E1029:F1029"/>
    <mergeCell ref="G1029:H1029"/>
    <mergeCell ref="F1037:G1037"/>
    <mergeCell ref="B1037:D1037"/>
    <mergeCell ref="H1037:I1037"/>
    <mergeCell ref="F1039:G1039"/>
    <mergeCell ref="F1038:G1038"/>
    <mergeCell ref="B1038:D1038"/>
    <mergeCell ref="H1038:I1038"/>
    <mergeCell ref="B1039:D1039"/>
    <mergeCell ref="H1039:I1039"/>
    <mergeCell ref="B1047:D1047"/>
    <mergeCell ref="B1059:D1059"/>
    <mergeCell ref="B1051:D1051"/>
    <mergeCell ref="B1053:D1053"/>
    <mergeCell ref="F1053:G1053"/>
    <mergeCell ref="B1054:D1054"/>
    <mergeCell ref="F1054:G1054"/>
    <mergeCell ref="B1061:D1061"/>
    <mergeCell ref="B1060:D1060"/>
    <mergeCell ref="B1063:D1063"/>
    <mergeCell ref="B1062:D1062"/>
    <mergeCell ref="F1063:G1063"/>
    <mergeCell ref="B1070:D1070"/>
    <mergeCell ref="B1069:D1069"/>
    <mergeCell ref="B1074:D1074"/>
    <mergeCell ref="F1074:G1074"/>
    <mergeCell ref="B1076:D1076"/>
    <mergeCell ref="B1075:D1075"/>
    <mergeCell ref="B1078:D1078"/>
    <mergeCell ref="B1077:D1077"/>
    <mergeCell ref="F1078:G1078"/>
    <mergeCell ref="B1082:D1082"/>
    <mergeCell ref="B1087:E1087"/>
    <mergeCell ref="F1087:G1087"/>
    <mergeCell ref="B1088:E1088"/>
    <mergeCell ref="F1088:G1088"/>
    <mergeCell ref="B1089:E1089"/>
    <mergeCell ref="F1089:G1089"/>
    <mergeCell ref="B1105:D1105"/>
    <mergeCell ref="F1105:G1105"/>
    <mergeCell ref="B1107:D1107"/>
    <mergeCell ref="B1106:D1106"/>
    <mergeCell ref="F1106:G1106"/>
    <mergeCell ref="F1107:G1107"/>
    <mergeCell ref="B1124:E1124"/>
    <mergeCell ref="F1124:G1124"/>
    <mergeCell ref="B1127:E1127"/>
    <mergeCell ref="F1127:G1127"/>
    <mergeCell ref="B1134:E1134"/>
    <mergeCell ref="F1134:G1134"/>
    <mergeCell ref="G1159:H1159"/>
    <mergeCell ref="E1159:F1159"/>
    <mergeCell ref="G1158:H1158"/>
    <mergeCell ref="E1158:F1158"/>
    <mergeCell ref="F1168:G1168"/>
    <mergeCell ref="B1168:E1168"/>
    <mergeCell ref="G1160:H1160"/>
    <mergeCell ref="E1160:F1160"/>
    <mergeCell ref="B1160:C1160"/>
    <mergeCell ref="B1161:C1161"/>
    <mergeCell ref="E1161:F1161"/>
    <mergeCell ref="G1161:H1161"/>
    <mergeCell ref="F1170:G1170"/>
    <mergeCell ref="B1170:E1170"/>
    <mergeCell ref="F1169:G1169"/>
    <mergeCell ref="B1169:E1169"/>
    <mergeCell ref="F1175:G1175"/>
    <mergeCell ref="B1175:E1175"/>
    <mergeCell ref="F1171:G1171"/>
    <mergeCell ref="B1171:E1171"/>
    <mergeCell ref="F1177:G1177"/>
    <mergeCell ref="B1177:E1177"/>
    <mergeCell ref="F1176:G1176"/>
    <mergeCell ref="B1176:E1176"/>
    <mergeCell ref="F1186:G1186"/>
    <mergeCell ref="F1178:G1178"/>
    <mergeCell ref="B1178:E1178"/>
    <mergeCell ref="B1182:E1182"/>
    <mergeCell ref="F1182:G1182"/>
    <mergeCell ref="B1183:E1183"/>
    <mergeCell ref="F1183:G1183"/>
    <mergeCell ref="B1194:D1194"/>
    <mergeCell ref="B1193:D1193"/>
    <mergeCell ref="B1191:D1191"/>
    <mergeCell ref="E1191:F1191"/>
    <mergeCell ref="G1191:H1191"/>
    <mergeCell ref="B1200:D1200"/>
    <mergeCell ref="B1198:D1198"/>
    <mergeCell ref="E1198:F1198"/>
    <mergeCell ref="G1198:H1198"/>
    <mergeCell ref="B1201:D1201"/>
    <mergeCell ref="F1218:G1218"/>
    <mergeCell ref="F1210:G1210"/>
    <mergeCell ref="F1209:G1209"/>
    <mergeCell ref="B1209:E1209"/>
    <mergeCell ref="B1212:E1212"/>
    <mergeCell ref="F1212:G1212"/>
    <mergeCell ref="F1219:G1219"/>
    <mergeCell ref="B1228:D1228"/>
    <mergeCell ref="B1227:D1227"/>
    <mergeCell ref="E1228:F1228"/>
    <mergeCell ref="G1228:H1228"/>
    <mergeCell ref="B1229:D1229"/>
    <mergeCell ref="E1229:F1229"/>
    <mergeCell ref="G1240:H1240"/>
    <mergeCell ref="E1240:F1240"/>
    <mergeCell ref="B1240:D1240"/>
    <mergeCell ref="B1239:D1239"/>
    <mergeCell ref="E1239:F1239"/>
    <mergeCell ref="G1239:H1239"/>
    <mergeCell ref="G1242:H1242"/>
    <mergeCell ref="E1242:F1242"/>
    <mergeCell ref="B1242:D1242"/>
    <mergeCell ref="G1241:H1241"/>
    <mergeCell ref="E1241:F1241"/>
    <mergeCell ref="B1241:D1241"/>
    <mergeCell ref="B1251:D1251"/>
    <mergeCell ref="G1243:H1243"/>
    <mergeCell ref="E1243:F1243"/>
    <mergeCell ref="B1243:D1243"/>
    <mergeCell ref="B1244:D1244"/>
    <mergeCell ref="E1244:F1244"/>
    <mergeCell ref="G1244:H1244"/>
    <mergeCell ref="B1254:D1254"/>
    <mergeCell ref="B1253:D1253"/>
    <mergeCell ref="B1252:D1252"/>
    <mergeCell ref="B490:E490"/>
    <mergeCell ref="F490:G490"/>
  </mergeCells>
  <conditionalFormatting sqref="J616">
    <cfRule type="cellIs" priority="42" dxfId="88" operator="notEqual">
      <formula>'01.10.2021'!#REF!+'01.10.2021'!#REF!</formula>
    </cfRule>
  </conditionalFormatting>
  <conditionalFormatting sqref="J694">
    <cfRule type="cellIs" priority="41" dxfId="88" operator="notEqual">
      <formula>'01.10.2021'!#REF!+'01.10.2021'!#REF!+'01.10.2021'!#REF!</formula>
    </cfRule>
  </conditionalFormatting>
  <conditionalFormatting sqref="F868 J867">
    <cfRule type="cellIs" priority="39" dxfId="88" operator="notEqual">
      <formula>'01.10.2021'!#REF!+'01.10.2021'!#REF!+'01.10.2021'!#REF!</formula>
    </cfRule>
  </conditionalFormatting>
  <conditionalFormatting sqref="F665">
    <cfRule type="cellIs" priority="43" dxfId="88" operator="notEqual">
      <formula>'01.10.2021'!#REF!+'01.10.2021'!#REF!+'01.10.2021'!#REF!+'01.10.2021'!#REF!+'01.10.2021'!#REF!+'01.10.2021'!#REF!+'01.10.2021'!#REF!+'01.10.2021'!#REF!+'01.10.2021'!#REF!+'01.10.2021'!#REF!</formula>
    </cfRule>
    <cfRule type="cellIs" priority="44" dxfId="0" operator="notEqual">
      <formula>'01.10.2021'!#REF!+'01.10.2021'!#REF!+'01.10.2021'!#REF!+'01.10.2021'!#REF!+'01.10.2021'!#REF!+'01.10.2021'!#REF!+'01.10.2021'!#REF!+'01.10.2021'!#REF!+'01.10.2021'!#REF!+'01.10.2021'!#REF!</formula>
    </cfRule>
  </conditionalFormatting>
  <conditionalFormatting sqref="J688">
    <cfRule type="cellIs" priority="38" dxfId="88" operator="notEqual">
      <formula>'01.10.2021'!#REF!+'01.10.2021'!#REF!+'01.10.2021'!#REF!</formula>
    </cfRule>
  </conditionalFormatting>
  <conditionalFormatting sqref="J730:J731 J763 J744 J751 J736:J737">
    <cfRule type="cellIs" priority="45" dxfId="88" operator="notEqual">
      <formula>'01.10.2021'!#REF!+'01.10.2021'!#REF!+'01.10.2021'!#REF!+'01.10.2021'!#REF!+'01.10.2021'!#REF!</formula>
    </cfRule>
  </conditionalFormatting>
  <conditionalFormatting sqref="F1286 J1285">
    <cfRule type="cellIs" priority="35" dxfId="88" operator="notEqual">
      <formula>'01.10.2021'!#REF!+'01.10.2021'!#REF!+'01.10.2021'!#REF!</formula>
    </cfRule>
  </conditionalFormatting>
  <conditionalFormatting sqref="F1354">
    <cfRule type="cellIs" priority="34" dxfId="88" operator="notEqual">
      <formula>'01.10.2021'!#REF!+'01.10.2021'!#REF!+'01.10.2021'!#REF!</formula>
    </cfRule>
  </conditionalFormatting>
  <conditionalFormatting sqref="F1259">
    <cfRule type="cellIs" priority="36" dxfId="88" operator="notEqual">
      <formula>'01.10.2021'!#REF!+'01.10.2021'!#REF!+'01.10.2021'!#REF!+'01.10.2021'!#REF!+'01.10.2021'!#REF!+'01.10.2021'!#REF!+'01.10.2021'!#REF!+'01.10.2021'!#REF!+'01.10.2021'!#REF!+'01.10.2021'!#REF!</formula>
    </cfRule>
    <cfRule type="cellIs" priority="37" dxfId="0" operator="notEqual">
      <formula>'01.10.2021'!#REF!+'01.10.2021'!#REF!+'01.10.2021'!#REF!+'01.10.2021'!#REF!+'01.10.2021'!#REF!+'01.10.2021'!#REF!+'01.10.2021'!#REF!+'01.10.2021'!#REF!+'01.10.2021'!#REF!+'01.10.2021'!#REF!</formula>
    </cfRule>
  </conditionalFormatting>
  <conditionalFormatting sqref="J1278">
    <cfRule type="cellIs" priority="33" dxfId="88" operator="notEqual">
      <formula>'01.10.2021'!#REF!+'01.10.2021'!#REF!+'01.10.2021'!#REF!</formula>
    </cfRule>
  </conditionalFormatting>
  <conditionalFormatting sqref="F1580">
    <cfRule type="cellIs" priority="30" dxfId="88" operator="notEqual">
      <formula>'01.10.2021'!#REF!+'01.10.2021'!#REF!+'01.10.2021'!#REF!+'01.10.2021'!#REF!+'01.10.2021'!#REF!+'01.10.2021'!#REF!+'01.10.2021'!#REF!+'01.10.2021'!#REF!+'01.10.2021'!#REF!+'01.10.2021'!#REF!</formula>
    </cfRule>
    <cfRule type="cellIs" priority="31" dxfId="0" operator="notEqual">
      <formula>'01.10.2021'!#REF!+'01.10.2021'!#REF!+'01.10.2021'!#REF!+'01.10.2021'!#REF!+'01.10.2021'!#REF!+'01.10.2021'!#REF!+'01.10.2021'!#REF!+'01.10.2021'!#REF!+'01.10.2021'!#REF!+'01.10.2021'!#REF!</formula>
    </cfRule>
  </conditionalFormatting>
  <conditionalFormatting sqref="J1608:J1609 J1617">
    <cfRule type="cellIs" priority="32" dxfId="88" operator="notEqual">
      <formula>'01.10.2021'!#REF!+'01.10.2021'!#REF!+'01.10.2021'!#REF!+'01.10.2021'!#REF!+'01.10.2021'!#REF!</formula>
    </cfRule>
  </conditionalFormatting>
  <conditionalFormatting sqref="J1308">
    <cfRule type="cellIs" priority="28" dxfId="88" operator="notEqual">
      <formula>'01.10.2021'!#REF!+'01.10.2021'!#REF!+'01.10.2021'!#REF!+'01.10.2021'!#REF!+'01.10.2021'!#REF!</formula>
    </cfRule>
  </conditionalFormatting>
  <conditionalFormatting sqref="J1616">
    <cfRule type="cellIs" priority="29" dxfId="88" operator="notEqual">
      <formula>'01.10.2021'!#REF!+'01.10.2021'!#REF!+'01.10.2021'!#REF!+'01.10.2021'!#REF!+'01.10.2021'!#REF!</formula>
    </cfRule>
  </conditionalFormatting>
  <conditionalFormatting sqref="J1316">
    <cfRule type="cellIs" priority="27" dxfId="88" operator="notEqual">
      <formula>'01.10.2021'!#REF!+'01.10.2021'!#REF!+'01.10.2021'!#REF!+'01.10.2021'!#REF!+'01.10.2021'!#REF!</formula>
    </cfRule>
  </conditionalFormatting>
  <conditionalFormatting sqref="J716">
    <cfRule type="cellIs" priority="26" dxfId="88" operator="notEqual">
      <formula>'01.10.2021'!#REF!+'01.10.2021'!#REF!+'01.10.2021'!#REF!+'01.10.2021'!#REF!+'01.10.2021'!#REF!</formula>
    </cfRule>
  </conditionalFormatting>
  <conditionalFormatting sqref="J724">
    <cfRule type="cellIs" priority="25" dxfId="88" operator="notEqual">
      <formula>'01.10.2021'!#REF!+'01.10.2021'!#REF!+'01.10.2021'!#REF!+'01.10.2021'!#REF!+'01.10.2021'!#REF!</formula>
    </cfRule>
  </conditionalFormatting>
  <conditionalFormatting sqref="J510">
    <cfRule type="cellIs" priority="24" dxfId="88" operator="notEqual">
      <formula>'01.10.2021'!#REF!+'01.10.2021'!#REF!</formula>
    </cfRule>
  </conditionalFormatting>
  <conditionalFormatting sqref="J527">
    <cfRule type="cellIs" priority="23" dxfId="88" operator="notEqual">
      <formula>'01.10.2021'!#REF!+'01.10.2021'!#REF!+'01.10.2021'!#REF!</formula>
    </cfRule>
  </conditionalFormatting>
  <conditionalFormatting sqref="J1162">
    <cfRule type="cellIs" priority="22" dxfId="88" operator="notEqual">
      <formula>'01.10.2021'!#REF!+'01.10.2021'!#REF!</formula>
    </cfRule>
  </conditionalFormatting>
  <conditionalFormatting sqref="J1178">
    <cfRule type="cellIs" priority="21" dxfId="88" operator="notEqual">
      <formula>'01.10.2021'!#REF!+'01.10.2021'!#REF!+'01.10.2021'!#REF!</formula>
    </cfRule>
  </conditionalFormatting>
  <conditionalFormatting sqref="J1499">
    <cfRule type="cellIs" priority="20" dxfId="88" operator="notEqual">
      <formula>'01.10.2021'!#REF!+'01.10.2021'!#REF!+'01.10.2021'!#REF!</formula>
    </cfRule>
  </conditionalFormatting>
  <conditionalFormatting sqref="J1483">
    <cfRule type="cellIs" priority="19" dxfId="88" operator="notEqual">
      <formula>'01.10.2021'!#REF!+'01.10.2021'!#REF!</formula>
    </cfRule>
  </conditionalFormatting>
  <conditionalFormatting sqref="J1212">
    <cfRule type="cellIs" priority="17" dxfId="88" operator="notEqual">
      <formula>'01.10.2021'!#REF!</formula>
    </cfRule>
  </conditionalFormatting>
  <conditionalFormatting sqref="J1533">
    <cfRule type="cellIs" priority="16" dxfId="88" operator="notEqual">
      <formula>'01.10.2021'!#REF!</formula>
    </cfRule>
  </conditionalFormatting>
  <conditionalFormatting sqref="K1552">
    <cfRule type="cellIs" priority="13" dxfId="88" operator="notEqual">
      <formula>'01.10.2021'!#REF!+'01.10.2021'!#REF!+'01.10.2021'!#REF!+'01.10.2021'!#REF!</formula>
    </cfRule>
  </conditionalFormatting>
  <conditionalFormatting sqref="K624">
    <cfRule type="cellIs" priority="15" dxfId="88" operator="notEqual">
      <formula>'01.10.2021'!#REF!+'01.10.2021'!#REF!+'01.10.2021'!#REF!+'01.10.2021'!#REF!</formula>
    </cfRule>
  </conditionalFormatting>
  <conditionalFormatting sqref="K1231">
    <cfRule type="cellIs" priority="14" dxfId="88" operator="notEqual">
      <formula>'01.10.2021'!#REF!+'01.10.2021'!#REF!+'01.10.2021'!#REF!+'01.10.2021'!#REF!</formula>
    </cfRule>
  </conditionalFormatting>
  <conditionalFormatting sqref="J797">
    <cfRule type="cellIs" priority="12" dxfId="88" operator="notEqual">
      <formula>'01.10.2021'!#REF!+'01.10.2021'!#REF!+'01.10.2021'!#REF!</formula>
    </cfRule>
  </conditionalFormatting>
  <conditionalFormatting sqref="J1353">
    <cfRule type="cellIs" priority="10" dxfId="88" operator="notEqual">
      <formula>'01.10.2021'!#REF!+'01.10.2021'!#REF!+'01.10.2021'!#REF!</formula>
    </cfRule>
  </conditionalFormatting>
  <conditionalFormatting sqref="J848">
    <cfRule type="cellIs" priority="11" dxfId="88" operator="notEqual">
      <formula>'01.10.2021'!#REF!</formula>
    </cfRule>
  </conditionalFormatting>
  <conditionalFormatting sqref="J1653:J1654 J1662 J1680">
    <cfRule type="cellIs" priority="9" dxfId="88" operator="notEqual">
      <formula>'01.10.2021'!#REF!+'01.10.2021'!#REF!+'01.10.2021'!#REF!</formula>
    </cfRule>
  </conditionalFormatting>
  <conditionalFormatting sqref="J773">
    <cfRule type="cellIs" priority="8" dxfId="88" operator="notEqual">
      <formula>'01.10.2021'!#REF!+'01.10.2021'!#REF!</formula>
    </cfRule>
  </conditionalFormatting>
  <conditionalFormatting sqref="J1322 J1329 J1336">
    <cfRule type="cellIs" priority="7" dxfId="88" operator="notEqual">
      <formula>'01.10.2021'!#REF!+'01.10.2021'!#REF!+'01.10.2021'!#REF!+'01.10.2021'!#REF!+'01.10.2021'!#REF!</formula>
    </cfRule>
  </conditionalFormatting>
  <conditionalFormatting sqref="J1622 J1629 J1636">
    <cfRule type="cellIs" priority="6" dxfId="88" operator="notEqual">
      <formula>'01.10.2021'!#REF!+'01.10.2021'!#REF!+'01.10.2021'!#REF!+'01.10.2021'!#REF!+'01.10.2021'!#REF!</formula>
    </cfRule>
  </conditionalFormatting>
  <conditionalFormatting sqref="K647">
    <cfRule type="cellIs" priority="5" dxfId="88" operator="notEqual">
      <formula>'01.10.2021'!#REF!+'01.10.2021'!#REF!+'01.10.2021'!#REF!+'01.10.2021'!#REF!</formula>
    </cfRule>
  </conditionalFormatting>
  <conditionalFormatting sqref="K1245">
    <cfRule type="cellIs" priority="4" dxfId="88" operator="notEqual">
      <formula>'01.10.2021'!#REF!+'01.10.2021'!#REF!+'01.10.2021'!#REF!+'01.10.2021'!#REF!</formula>
    </cfRule>
  </conditionalFormatting>
  <conditionalFormatting sqref="K1566">
    <cfRule type="cellIs" priority="3" dxfId="88" operator="notEqual">
      <formula>'01.10.2021'!#REF!+'01.10.2021'!#REF!+'01.10.2021'!#REF!+'01.10.2021'!#REF!</formula>
    </cfRule>
  </conditionalFormatting>
  <conditionalFormatting sqref="J1089:J1090">
    <cfRule type="cellIs" priority="2" dxfId="88" operator="notEqual">
      <formula>'01.10.2021'!#REF!+'01.10.2021'!#REF!+'01.10.2021'!#REF!</formula>
    </cfRule>
  </conditionalFormatting>
  <conditionalFormatting sqref="J835">
    <cfRule type="cellIs" priority="1" dxfId="88" operator="notEqual">
      <formula>'01.10.2021'!#REF!+'01.10.2021'!#REF!+'01.10.2021'!#REF!</formula>
    </cfRule>
  </conditionalFormatting>
  <conditionalFormatting sqref="L584">
    <cfRule type="cellIs" priority="40" dxfId="88" operator="notEqual">
      <formula>'01.10.2021'!#REF!</formula>
    </cfRule>
  </conditionalFormatting>
  <conditionalFormatting sqref="J562">
    <cfRule type="cellIs" priority="18" dxfId="88" operator="notEqual">
      <formula>'01.10.2021'!#REF!</formula>
    </cfRule>
  </conditionalFormatting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39" r:id="rId1"/>
  <headerFooter differentFirst="1" alignWithMargins="0">
    <oddHeader>&amp;C&amp;P</oddHeader>
  </headerFooter>
  <rowBreaks count="14" manualBreakCount="14">
    <brk id="65" max="15" man="1"/>
    <brk id="92" max="15" man="1"/>
    <brk id="511" max="15" man="1"/>
    <brk id="569" max="15" man="1"/>
    <brk id="627" max="15" man="1"/>
    <brk id="701" max="15" man="1"/>
    <brk id="791" max="15" man="1"/>
    <brk id="808" max="15" man="1"/>
    <brk id="877" max="15" man="1"/>
    <brk id="924" max="15" man="1"/>
    <brk id="999" max="15" man="1"/>
    <brk id="1090" max="15" man="1"/>
    <brk id="1161" max="15" man="1"/>
    <brk id="121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2021-10-04T11:45:47Z</cp:lastPrinted>
  <dcterms:created xsi:type="dcterms:W3CDTF">2011-01-11T10:25:48Z</dcterms:created>
  <dcterms:modified xsi:type="dcterms:W3CDTF">2021-11-03T11:35:40Z</dcterms:modified>
  <cp:category/>
  <cp:version/>
  <cp:contentType/>
  <cp:contentStatus/>
</cp:coreProperties>
</file>