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новый" sheetId="1" r:id="rId1"/>
  </sheets>
  <definedNames>
    <definedName name="TABLE" localSheetId="0">'новый'!#REF!</definedName>
    <definedName name="TABLE_2" localSheetId="0">'новый'!#REF!</definedName>
    <definedName name="_xlnm.Print_Area" localSheetId="0">'новый'!$A$1:$O$871</definedName>
  </definedNames>
  <calcPr fullCalcOnLoad="1"/>
</workbook>
</file>

<file path=xl/sharedStrings.xml><?xml version="1.0" encoding="utf-8"?>
<sst xmlns="http://schemas.openxmlformats.org/spreadsheetml/2006/main" count="1301" uniqueCount="511">
  <si>
    <t>Наименование показателя</t>
  </si>
  <si>
    <t>Код строки</t>
  </si>
  <si>
    <t>за пределами планового периода</t>
  </si>
  <si>
    <t>(подпись)</t>
  </si>
  <si>
    <t>Утверждаю</t>
  </si>
  <si>
    <t>Коды</t>
  </si>
  <si>
    <t>Раздел 1. Поступления и выплаты</t>
  </si>
  <si>
    <t>х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</si>
  <si>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</si>
  <si>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</si>
  <si>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</si>
  <si>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</si>
  <si>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</si>
  <si>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</si>
  <si>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</si>
  <si>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</si>
  <si>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</si>
  <si>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</si>
  <si>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</si>
  <si>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</si>
  <si>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</si>
  <si>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</si>
  <si>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</si>
  <si>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</si>
  <si>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</si>
  <si>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</si>
  <si>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</si>
  <si>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</si>
  <si>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</si>
  <si>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</si>
  <si>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</si>
  <si>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</si>
  <si>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</si>
  <si>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</si>
  <si>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</si>
  <si>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</si>
  <si>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</si>
  <si>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</si>
  <si>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</si>
  <si>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</si>
  <si>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</si>
  <si>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</si>
  <si>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</si>
  <si>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</si>
  <si>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</si>
  <si>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</si>
  <si>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</si>
  <si>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</si>
  <si>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</si>
  <si>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</si>
  <si>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</si>
  <si>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</si>
  <si>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</si>
  <si>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</si>
  <si>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</si>
  <si>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</si>
  <si>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</si>
  <si>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</si>
  <si>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</si>
  <si>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</si>
  <si>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</si>
  <si>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</si>
  <si>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</si>
  <si>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</si>
  <si>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</si>
  <si>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</si>
  <si>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</si>
  <si>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</si>
  <si>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</si>
  <si>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</si>
  <si>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</si>
  <si>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</si>
  <si>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</si>
  <si>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</si>
  <si>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</si>
  <si>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</si>
  <si>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</si>
  <si>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</si>
  <si>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</si>
  <si>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</si>
  <si>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</si>
  <si>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</si>
  <si>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</si>
  <si>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</si>
  <si>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</si>
  <si>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</si>
  <si>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</si>
  <si>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</si>
  <si>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</si>
  <si>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</si>
  <si>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</si>
  <si>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</si>
  <si>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</si>
  <si>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</si>
  <si>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</si>
  <si>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</si>
  <si>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</si>
  <si>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</si>
  <si>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</si>
  <si>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</si>
  <si>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</si>
  <si>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</si>
  <si>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</si>
  <si>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</si>
  <si>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</si>
  <si>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</si>
  <si>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</si>
  <si>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</si>
  <si>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</si>
  <si>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</si>
  <si>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</si>
  <si>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</si>
  <si>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</si>
  <si>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</si>
  <si>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</si>
  <si>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</si>
  <si>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</si>
  <si>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</si>
  <si>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</si>
  <si>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</si>
  <si>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</si>
  <si>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</si>
  <si>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</si>
  <si>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</si>
  <si>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</si>
  <si>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</si>
  <si>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Субсидии на финансовое обеспечение выполнения муниципального задания из краевого бюджета</t>
  </si>
  <si>
    <t>Субсидии на финансовое обеспечение выполнения муниципального задания из местного бюджета</t>
  </si>
  <si>
    <t>Платные услуги</t>
  </si>
  <si>
    <t xml:space="preserve">Аналитический код </t>
  </si>
  <si>
    <t>Итого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</si>
  <si>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</si>
  <si>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</si>
  <si>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</si>
  <si>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</si>
  <si>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</si>
  <si>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</si>
  <si>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</si>
  <si>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Субсидии представляемые в соответствии с абзацем вторым пункта 1 статьи 78.1 бюджетного кодекса Российской Федерации (район)</t>
  </si>
  <si>
    <t>Код по бюджетной классификации РФ</t>
  </si>
  <si>
    <t>Субсидии представляемые в соответствии с абзацем вторым пункта 1 статьи 78.1 бюджетного кодекса Российской Федерации ( край)</t>
  </si>
  <si>
    <t>текущий период</t>
  </si>
  <si>
    <t>(наименование должности уполномоченного лица)</t>
  </si>
  <si>
    <t>(наименование органа - учредителя (учреждения)</t>
  </si>
  <si>
    <t>(расшифровка подписи)</t>
  </si>
  <si>
    <t>0001</t>
  </si>
  <si>
    <t>0002</t>
  </si>
  <si>
    <t>1. Расчеты (обоснования) выплат персоналу (строка 210)</t>
  </si>
  <si>
    <t>Код видов доходов</t>
  </si>
  <si>
    <t>Источник финансового обеспечения</t>
  </si>
  <si>
    <t>Субсидии на выполнение муниципального задания</t>
  </si>
  <si>
    <t>№ п/п</t>
  </si>
  <si>
    <t>Наименование расходов</t>
  </si>
  <si>
    <t>Код аналитического учета</t>
  </si>
  <si>
    <t>ФОТ месячный руб.</t>
  </si>
  <si>
    <t>Кол-во месяцев</t>
  </si>
  <si>
    <t>Фонд оплаты труда в руб.</t>
  </si>
  <si>
    <t>Заработная плата</t>
  </si>
  <si>
    <t>Выделено в бюджете</t>
  </si>
  <si>
    <t>Средний размер выплаты на одного работника в день, руб.</t>
  </si>
  <si>
    <t>Кол-во работников, чел.</t>
  </si>
  <si>
    <t>Количество дней</t>
  </si>
  <si>
    <t>Сумма, руб (гр.3 х гр.4 х гр.5)</t>
  </si>
  <si>
    <t>Наименование</t>
  </si>
  <si>
    <t>код аналитического учета</t>
  </si>
  <si>
    <t>Размер базы для начисления страховых взносов %.</t>
  </si>
  <si>
    <t>Сумма взноса руб.</t>
  </si>
  <si>
    <t xml:space="preserve">Страховые взносы </t>
  </si>
  <si>
    <t>Х</t>
  </si>
  <si>
    <t>Стоимость услуги, руб.</t>
  </si>
  <si>
    <t>Пособия за первые 3 дня временной нетрудоспособности за счет средств работодателя</t>
  </si>
  <si>
    <t>Налог на пособия за первые 3 дня нетрудоспособности</t>
  </si>
  <si>
    <t>Численность работников получающих пособие</t>
  </si>
  <si>
    <t>Количество выплат в год на одного работника</t>
  </si>
  <si>
    <t>сумма руб (гр.3чгр.4чгр.5)</t>
  </si>
  <si>
    <t>Ежемесячные компенсационные выплаты в размере 50 рублей до 3-х лет</t>
  </si>
  <si>
    <t>Код видов расходов</t>
  </si>
  <si>
    <t>источник финансового обеспечения</t>
  </si>
  <si>
    <t>Размер одной выплаты, руб.</t>
  </si>
  <si>
    <t>Количество выплат в год</t>
  </si>
  <si>
    <t>Общая сумма выплат, руб.</t>
  </si>
  <si>
    <t>Итого:</t>
  </si>
  <si>
    <t>Объект</t>
  </si>
  <si>
    <t>Количество работ (услуг)</t>
  </si>
  <si>
    <t>Стоимость работ (услуг)</t>
  </si>
  <si>
    <t>Количенство договоров</t>
  </si>
  <si>
    <t>Количество</t>
  </si>
  <si>
    <t>Средняя стоимость руб.</t>
  </si>
  <si>
    <t xml:space="preserve">Сумма руб. </t>
  </si>
  <si>
    <t>Размер выплаты (пособия) в месяц мруб.</t>
  </si>
  <si>
    <t>5. Расчеты (обоснования) прочих расходов ( кроме расходов на закупку товаров, работ, услуг)</t>
  </si>
  <si>
    <t>6. Расчет (обоснование) расходов на закупку товаров, работ, услуг</t>
  </si>
  <si>
    <t>6.1 Расчет (обоснование) расходов на оплату услуг связи ( за счет районного бюджета) на 2020 год</t>
  </si>
  <si>
    <t>количество номеров</t>
  </si>
  <si>
    <t>Количество платежей в год</t>
  </si>
  <si>
    <t>Стоимость за единицу руб.</t>
  </si>
  <si>
    <t>Услуги связи</t>
  </si>
  <si>
    <t xml:space="preserve">Услуги Интернет </t>
  </si>
  <si>
    <t>итого</t>
  </si>
  <si>
    <t>Размер потребления ресурсов</t>
  </si>
  <si>
    <t>Тариф (с учетом НДС) руб</t>
  </si>
  <si>
    <t>Индексация %</t>
  </si>
  <si>
    <t>Оплата потребления электроэнергии</t>
  </si>
  <si>
    <t>Оплата водоснабжения</t>
  </si>
  <si>
    <t>Оплата водоотведения</t>
  </si>
  <si>
    <t>Ставка арендной платы</t>
  </si>
  <si>
    <t>Стоимость с учетом НДС руб.</t>
  </si>
  <si>
    <t>здание</t>
  </si>
  <si>
    <t>Приобретение продуктов питания</t>
  </si>
  <si>
    <t>Приобретение лако-красочных материалов</t>
  </si>
  <si>
    <t>Налоговая база; кадастровая стоимость земельного участка руб.</t>
  </si>
  <si>
    <t>Ставка налога %</t>
  </si>
  <si>
    <t xml:space="preserve">Сумма исчисленного налога, подлежащего уплате, руб. </t>
  </si>
  <si>
    <t>Налог на имущество</t>
  </si>
  <si>
    <t>Плата за загрязнение окружающей среды</t>
  </si>
  <si>
    <t>Штраф</t>
  </si>
  <si>
    <t>Сумма руб. (гр.2хгр.3)</t>
  </si>
  <si>
    <t>9. Расчет (обоснование) расходов на закупку товаров, работ, услуг</t>
  </si>
  <si>
    <t>Мягкий инвентарь</t>
  </si>
  <si>
    <t>Иная субсидия</t>
  </si>
  <si>
    <t xml:space="preserve">Руководитель муниципального </t>
  </si>
  <si>
    <t xml:space="preserve">бюджетного учреждения </t>
  </si>
  <si>
    <t xml:space="preserve">М.П.           </t>
  </si>
  <si>
    <t>Иные субсидии</t>
  </si>
  <si>
    <t>3.4 Расчет (обоснование) расходов на увеличение стоимости прочих оборотных запасов ( за счет краевого бюджета) на 2020 год</t>
  </si>
  <si>
    <t>4.2 Расчеты (обоснования) выплат персоналу при направлении в служебные командировки ( за счет районных бюджета) на 2020 год</t>
  </si>
  <si>
    <t>4.3 Расчет (обоснование) расходов на оплату социальных пособий и компенсаций персоналу в денежной форме ( за счет районого бюджета) на 2020 год</t>
  </si>
  <si>
    <t>4.4 Расчет (обоснование) расходов на оплату социальных пособий и компенсаций персоналу в денежной форме ( за счет районого бюджета) на 2020 год</t>
  </si>
  <si>
    <t>6.3 Расчет (обоснование) расходов на оплату аренды имущества на 2020 год</t>
  </si>
  <si>
    <t>6.6 Расчет (обоснование) расходов на увеличение стоимости основных средств ( за счет районного бюджета) на 2020 год</t>
  </si>
  <si>
    <t>6.8 Расчет (обоснование) расходов на увеличение стоимости строительных материалов ( за счет районного бюджета) на 2020 год</t>
  </si>
  <si>
    <t>6.9 Расчет (обоснование) расходов на увеличение стоимости прочих оборотных запасов ( за счет районного бюджета) на 2020 год</t>
  </si>
  <si>
    <t>7.2 Расчет (обоснование) расходов на оплату других экономических санкций( за счет средств районного бюджета) на 2020 год</t>
  </si>
  <si>
    <t>Курсы повышения квалификации</t>
  </si>
  <si>
    <t>Учебники</t>
  </si>
  <si>
    <t xml:space="preserve">Оплата отопления </t>
  </si>
  <si>
    <t>Оплата горячего водоснабжения</t>
  </si>
  <si>
    <t>Дезинфекция, дератизация</t>
  </si>
  <si>
    <t>Обслуживание пожарной сигнализации</t>
  </si>
  <si>
    <t>Сервисное обслуживание теплосчётчика</t>
  </si>
  <si>
    <t>Услуги "Экопроект"</t>
  </si>
  <si>
    <t>Медицинский осмотр сотрудников</t>
  </si>
  <si>
    <t>9.3  Расчет (обоснование) расходов на увеличение стоимости основных средств ( за счет средств от приносящей деятельности) на 2020 год</t>
  </si>
  <si>
    <t>9.4  Расчет (обоснование) расходов на увеличение стоимости продуктов питания ( за счет средств от приносящий доход деятельности) на 2020 год</t>
  </si>
  <si>
    <t>9.5  Расчет (обоснование) расходов на увеличение стоимости мягкого инвентаря ( за счет средств от приносящий доход деятельности) на 2020 год</t>
  </si>
  <si>
    <t>Осуществление отдельных государственных полномочий по обеспечению льготным питанием учащихся из многодетных семей в муниципальных образовательных организациях</t>
  </si>
  <si>
    <t>Количество детей</t>
  </si>
  <si>
    <t>Средняя стоимость,руб.</t>
  </si>
  <si>
    <t>Количество дней питания</t>
  </si>
  <si>
    <t>Предоставление субсидии муниципальным образовательным организациям на обеспечение бесплатного двухразового питания обучающихся с ограниченными возможностями здоровья</t>
  </si>
  <si>
    <t>Организация отдыха детей в профильных лагерях в каникулярное время с дневным пребыванием с обязательной организацией их питания</t>
  </si>
  <si>
    <t>2. Расчеты (обоснования) прочих расходов на закупку товаров, работ, услуг</t>
  </si>
  <si>
    <t>3. Расчеты (обоснования) выплат персоналу (строка 210)</t>
  </si>
  <si>
    <t xml:space="preserve"> </t>
  </si>
  <si>
    <t>Добровольные пожертвования</t>
  </si>
  <si>
    <t>Остаток средств на начало текущего финансового года</t>
  </si>
  <si>
    <t>Остаток средств на конец текущего финансового года</t>
  </si>
  <si>
    <t>1410</t>
  </si>
  <si>
    <t>добровольные пожертвования</t>
  </si>
  <si>
    <t>1230</t>
  </si>
  <si>
    <t>Медосмотр сотрудников</t>
  </si>
  <si>
    <t>Средства от приносящей доход деятельности</t>
  </si>
  <si>
    <t>Безвозмездные денежные поступления</t>
  </si>
  <si>
    <t>О.И.Акасевич</t>
  </si>
  <si>
    <t>Компьютерная и оргтехника</t>
  </si>
  <si>
    <t>Канцелярские товары</t>
  </si>
  <si>
    <t xml:space="preserve">Количество </t>
  </si>
  <si>
    <t>8. Расчет (обоснование) расходов на закупку товаров, работ, услуг</t>
  </si>
  <si>
    <t>Доходы всего:</t>
  </si>
  <si>
    <t>1000</t>
  </si>
  <si>
    <t>Доходы от собственности:</t>
  </si>
  <si>
    <t>120</t>
  </si>
  <si>
    <t>1100</t>
  </si>
  <si>
    <t>1110</t>
  </si>
  <si>
    <t>Директор</t>
  </si>
  <si>
    <t>Муниципального общеобразовательного учреждения средней общеобразовательной школы №1 имени А.И.Герцена муниципального образования Тимашевский район</t>
  </si>
  <si>
    <t>Услуги по перезарядке огнетушителей</t>
  </si>
  <si>
    <t>Средний размер выплаты на одного работника</t>
  </si>
  <si>
    <t>Количество суток</t>
  </si>
  <si>
    <t>Суточные при служебных командировках</t>
  </si>
  <si>
    <t>Количество командировок</t>
  </si>
  <si>
    <t>Средняя стоимость проезда и проживания</t>
  </si>
  <si>
    <t>Наем жилых помещений и оплата проезда по служебным командировкам</t>
  </si>
  <si>
    <t>Итого по ст.226</t>
  </si>
  <si>
    <t>Итого по ст.310</t>
  </si>
  <si>
    <t>Итого по ст.225</t>
  </si>
  <si>
    <t>Субсидия на обеспечение отдыха детей в каникулярное время в профильных лагерях, организованных муниципальными образовательными организациями.</t>
  </si>
  <si>
    <t>212,226,266</t>
  </si>
  <si>
    <t>Осуществление отдельных государственных полномочий по материально-техническому обеспеспечению пунктов проведения государственной итоговой аттестации (Видеотрансляция)</t>
  </si>
  <si>
    <t>Контур-экстерн</t>
  </si>
  <si>
    <t>от сдачи металлолома,маккулатуры</t>
  </si>
  <si>
    <t>Поступления от сдачи металлолома и макулатуры</t>
  </si>
  <si>
    <t>Гранты</t>
  </si>
  <si>
    <t>1420</t>
  </si>
  <si>
    <t>11. Расчет (обоснование) расходов на закупку товаров, работ, услуг</t>
  </si>
  <si>
    <t>Бланки строгой отчетности (аттестаты)</t>
  </si>
  <si>
    <t>Приобретение лакокрасочных,строительных и расходных материалов</t>
  </si>
  <si>
    <t>16.3   Расчеты (обоснования)  на оплату прочих работ, услуг  ( за счет районного бюджета) на 2020 год</t>
  </si>
  <si>
    <t>Учебно-педагогическая документация</t>
  </si>
  <si>
    <t>Испытания и измерения электроустановок и электрооборудования</t>
  </si>
  <si>
    <t>оборудование</t>
  </si>
  <si>
    <t>Предоставление субсидии муниципальным образовательным организациям на организацию бесплатного горячего питания обучающихся, получающих начальное общее образование.</t>
  </si>
  <si>
    <t>-</t>
  </si>
  <si>
    <t>Фонд оплаты труда, руб.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</si>
  <si>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</si>
  <si>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Размер базы для начисления страховых взносов, %.</t>
  </si>
  <si>
    <t>Сумма, руб.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</si>
  <si>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(страховые взносы)</t>
  </si>
  <si>
    <t>Количество,шт.метр</t>
  </si>
  <si>
    <t>иные выплаты населению</t>
  </si>
  <si>
    <t>2240</t>
  </si>
  <si>
    <t>360</t>
  </si>
  <si>
    <t>613</t>
  </si>
  <si>
    <t>гранты, предоставляемые иным некомерческим организациям (за исключением бюджетных и автономных учреждений)</t>
  </si>
  <si>
    <t>2430</t>
  </si>
  <si>
    <t>634</t>
  </si>
  <si>
    <t>гранты, предоставляемые автономным учреждениям</t>
  </si>
  <si>
    <t>2420</t>
  </si>
  <si>
    <t>623</t>
  </si>
  <si>
    <t>1910</t>
  </si>
  <si>
    <t>1920</t>
  </si>
  <si>
    <t>1530</t>
  </si>
  <si>
    <t xml:space="preserve">Предоставление субсидии муниципальным образовательным организациям на ежемесячную денежную выплату на питание обучающимся с ограниченными возможностями здоровья, для которых организовано обучение на дому. </t>
  </si>
  <si>
    <t>Количество договоров</t>
  </si>
  <si>
    <t>Поставка периодических изданий</t>
  </si>
  <si>
    <t>Стрелец-Мониторинг</t>
  </si>
  <si>
    <t>на 2023 г.</t>
  </si>
  <si>
    <t xml:space="preserve">Услуги по физической охране </t>
  </si>
  <si>
    <t xml:space="preserve">Налог на землю </t>
  </si>
  <si>
    <t>закупка энергетических ресурсов</t>
  </si>
  <si>
    <t>2641</t>
  </si>
  <si>
    <t>247</t>
  </si>
  <si>
    <t>4. Расчеты (обоснования) прочих расходов на закупку энергетических ресурсов</t>
  </si>
  <si>
    <t>5. Расчеты (обоснования) прочих расходов на закупку товаров, работ, услуг</t>
  </si>
  <si>
    <t>6. Расчет (обоснование) расходов на уплату налогов сборов и иных платежей</t>
  </si>
  <si>
    <t xml:space="preserve">Хозяйственные товары </t>
  </si>
  <si>
    <t>Субсидия на обеспечение отдыха учащихся образовательных организаций в каникулярное время в краевых и районных лагерях, многодневных походах, экспедициях, экскурсиях, посещение спектаклей и прочее.</t>
  </si>
  <si>
    <t>Оценка рыночной стоимости годовой арендной платы</t>
  </si>
  <si>
    <t>Текущий ремонт пищеблока (аренда Райпо)</t>
  </si>
  <si>
    <t>Дезинфицирующие средства ,хозяйственные товары</t>
  </si>
  <si>
    <t>Охрана объекта с использованием КТС</t>
  </si>
  <si>
    <t>Услуги утилизации</t>
  </si>
  <si>
    <t>9. Расчеты (обоснования) выплат персоналу (строка 210)</t>
  </si>
  <si>
    <t>10. Расчет (обоснование) расходов на закупку товаров, работ, услуг</t>
  </si>
  <si>
    <t>Капитальный ремонт и переоснащение пищевых блоков муниципальных общеобразовательных организаций</t>
  </si>
  <si>
    <t>Заработная плата за участие в организации и проведении государственной (итоговой) аттестации</t>
  </si>
  <si>
    <t>12. Расчеты (обоснования) выплат персоналу (строка 210)</t>
  </si>
  <si>
    <t xml:space="preserve">13.  Расчет (обоснование) расходов на оплату работ, услуг в целях капитального ремонта </t>
  </si>
  <si>
    <t xml:space="preserve">14. Расчеты (обоснования) расходов на закупку товаров, работ, услуг </t>
  </si>
  <si>
    <t>Субсидия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организациях.</t>
  </si>
  <si>
    <t>Капитальный ремонт зданий и сооружений образовательных организаций (сверхсофинансирование )</t>
  </si>
  <si>
    <t>15. Расчет (обоснование) расходов на пособия, компенсации и иные выплаты гражданам, кроме публичных нормативных обязательств</t>
  </si>
  <si>
    <t xml:space="preserve">17.  Расчет (обоснование) расходов на оплату работ, услуг в целях капитального ремонта </t>
  </si>
  <si>
    <t>18. Расчет (обоснование) расходов на закупку товаров, работ, услуг</t>
  </si>
  <si>
    <t>19. Расчет (обоснование) расходов на пособия, компенсации и иные выплаты гражданам, кроме публичных нормативных обязательств</t>
  </si>
  <si>
    <t>Техническое обслуживание технических средств охраны</t>
  </si>
  <si>
    <t>За услуги по участию в конкурсе</t>
  </si>
  <si>
    <t>Оценка профессиональных рисков на местах</t>
  </si>
  <si>
    <t>Экспертиза соответствия технических характеристик товара</t>
  </si>
  <si>
    <t>Услуги по обращению с  ТКО</t>
  </si>
  <si>
    <t xml:space="preserve">Сумма, руб. </t>
  </si>
  <si>
    <t>Вешалки,крючки</t>
  </si>
  <si>
    <t>Предоставление субсидии муниципальным образовательным организациям на услугу по организации бесплатного горячего питания обучающихся.</t>
  </si>
  <si>
    <t>Количество,шт.</t>
  </si>
  <si>
    <t>Бумага офисная А4</t>
  </si>
  <si>
    <t>Капельницы, пипетки</t>
  </si>
  <si>
    <t>Мебель</t>
  </si>
  <si>
    <t>Запасные части для бензокосы</t>
  </si>
  <si>
    <t>Диван двухместный в фойе (аренда Знание)</t>
  </si>
  <si>
    <t>Страховые взносы за участие в организации и проведении государственной (итоговой) аттестации</t>
  </si>
  <si>
    <t>Субсидия на приобретение муниципальными учреждениями движимого имущества</t>
  </si>
  <si>
    <t>Оценка рыночной стоимости годовой арендной платы (аренда Знание)</t>
  </si>
  <si>
    <t>Таблички из пластика</t>
  </si>
  <si>
    <t>Подарочная продукция (кубки, ленты наградные)</t>
  </si>
  <si>
    <t>Утилизация</t>
  </si>
  <si>
    <t>8.5  Расчет (обоснование) расходов на оплату прочих работ,услуг ( за счет добровольных пожертвований) на 2022 год</t>
  </si>
  <si>
    <t xml:space="preserve">Курсы повышения квалификации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</si>
  <si>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счёт средств резервного фонда Правительства РФ.</t>
  </si>
  <si>
    <t>Ёлка новогодняя искусственная</t>
  </si>
  <si>
    <t>Грамоты</t>
  </si>
  <si>
    <t>1.1 Расчеты (обоснования) выплат на оплату труда ( за счет краевого бюджета) на 2023 год</t>
  </si>
  <si>
    <t>1.2 Расчеты (обоснования) страховых взносов (за счет краевого бюджета) на 2023 год</t>
  </si>
  <si>
    <t>1.3  Расчет (обоснование) расходов на оплату прочих несоциальных выплат персоналу в денежной форме ( за счет край бюджета) на 2023 год</t>
  </si>
  <si>
    <t>1.4  Расчет (обоснование) расходов на оплату социальных пособий и компенсаций персоналу в денежной форме ( за счет край бюджета) на 2023 год</t>
  </si>
  <si>
    <t>2.1 Расчет (обоснование) расходов на оплату услуг связи ( за счет краевого бюджета) на 2023 год</t>
  </si>
  <si>
    <t>2.2 Расчет (обоснование) расходов на оплату прочих работ, услуг ( за счет краевого бюджета) на 2023 год</t>
  </si>
  <si>
    <t>2.3 Расчет (обоснование) расходов на увеличение стоимости основных средств ( за счет краевого бюджета) на 2023 год</t>
  </si>
  <si>
    <t>2.4  Расчет (обоснование) расходов на увеличение стоимости прочих оборотных запасов ( за счет краевого бюджета) на 2023 год</t>
  </si>
  <si>
    <t>2.5   Расчет (обоснование) расходов на увеличение стоимости материальных запасов однократного применения ( за счет краевого бюджета) на 2023 год</t>
  </si>
  <si>
    <t>4.1  Расчет (обоснование) расходов на оплату коммунальных услуг ( за счет районного бюджета) на 2023 год</t>
  </si>
  <si>
    <t>5.1  Расчет (обоснование) расходов на оплату коммунальных услуг ( за счет районного бюджета) на 2023 год</t>
  </si>
  <si>
    <t>5.2  Расчет (обоснование) расходов на оплату работ, услуг по содержанию имущества ( за счет районного бюджета) на 2023 год</t>
  </si>
  <si>
    <t>5.3  Расчет (обоснование) расходов на оплату прочих работ, услуг ( за счет районного бюджета) на 2023 год</t>
  </si>
  <si>
    <t>6.1 Расчет (обоснование) расходов на оплату налога на имущество организаций и земельного налога( за счет средств районного бюджета) на 2023 год</t>
  </si>
  <si>
    <t>7.2   Расчет (обоснование) расходов на увеличение стоимости строительных материалов ( за счет районного бюджета) на 2023 год</t>
  </si>
  <si>
    <t>7.3  Расчет (обоснование) расходов на увеличение стоимости прочих оборотных запасов ( за счет районного бюджета) на 2023 год</t>
  </si>
  <si>
    <t>7.4   Расчет (обоснование) расходов на увеличение стоимости материальных запасов однократного применения ( за счет районного бюджета) на 2023 год</t>
  </si>
  <si>
    <t>8.1 Расчет (обоснование) расходов на оплату услуг связи ( за счет платных услуг) на 2023 год</t>
  </si>
  <si>
    <t>8.2  Расчет (обоснование) расходов на оплату работ, услуг по содержанию имущества ( за счет платных услуг) на 2023 год</t>
  </si>
  <si>
    <t>8.3  Расчет (обоснование) расходов на оплату прочих работ, услуг ( за счет платных услуг) на 2023 год</t>
  </si>
  <si>
    <t>8.4  Расчет (обоснование) расходов на оплату прочих работ,услуг ( за счет средств от штрафов, пеней) на 2023 год</t>
  </si>
  <si>
    <t>8.6  Расчет (обоснование) расходов на увеличение стоимости основных средств ( за счет платных услуг) на 2023 год</t>
  </si>
  <si>
    <t>8.7 Расчет (обоснование) расходов на увеличение стоимости основных средств ( за счет арендной платы) на 2023 год</t>
  </si>
  <si>
    <t>8.8  Расчет (обоснование) расходов на увеличение стоимости прочих оборотных запасов ( за счет платных услуг) на 2023 год</t>
  </si>
  <si>
    <t>8.9   Расчет (обоснование) расходов на увеличение стоимости материальных запасов однократного применения ( за счет платных услуг) на 2023 год</t>
  </si>
  <si>
    <t>8.10  Расчет (обоснование) расходов на оплату работ, услуг по содержанию имущества ( за счет арендной платы) на 2023 год</t>
  </si>
  <si>
    <t>8.11  Расчет (обоснование) расходов на оплату прочих работ,услуг ( за счет арендной платы) на 2023 год</t>
  </si>
  <si>
    <t>8.12   Расчет (обоснование) расходов на увеличение стоимости строительных материалов ( за счет платных услуг) на 2023 год</t>
  </si>
  <si>
    <t>8.13   Расчет (обоснование) расходов на увеличение стоимости строительных материалов ( за счет арендной платы) на 2023 год</t>
  </si>
  <si>
    <t>9.1  Расчет (обоснование) выплат на оплату труда ( за счет средств от приносящей доход деятельности) на 2023 год</t>
  </si>
  <si>
    <t>9.2  Расчеты (обоснования) страховых взносов ( за счет средств от приносяшей доход деятельности) на 2023 год</t>
  </si>
  <si>
    <t>10.1   Расчет (обоснование) расходов на увеличение стоимости строительных материалов ( за счет средств от приносящей доход деятельности) на 2023 год</t>
  </si>
  <si>
    <t>10.2  Расчет (обоснование) расходов на увеличение стоимости прочих оборотных запасов ( за счет средств от приносящий доход деятельности) на 2023 год</t>
  </si>
  <si>
    <t>11.1  Расчет (обоснование) расходов на увеличение стоимости прочих оборотных запасов ( за счет средств от приносящий доход деятельности) на 2023 год</t>
  </si>
  <si>
    <t>12.1 Расчеты (обоснования) выплат на оплату труда ( за счет краевого бюджета) на 2023 год</t>
  </si>
  <si>
    <t>12.2 Расчеты (обоснования) страховых взносов (за счет краевого бюджета) на 2023 год</t>
  </si>
  <si>
    <t>12.3 Расчеты (обоснования) выплат на оплату труда ( за счет краевого бюджета) на 2023 год</t>
  </si>
  <si>
    <t>12.4 Расчеты (обоснования) страховых взносов (за счет краевого бюджета) на 2023 год</t>
  </si>
  <si>
    <t>12.5 Расчеты (обоснования) выплат, за исключением фонда оплаты труда для выполнения отдельных полномочий ( за счет краевого бюджета) на 2023 год</t>
  </si>
  <si>
    <t>12.6 Расчеты (обоснования) выплат, за исключением фонда оплаты труда для выполнения отдельных полномочий ( за счет краевого бюджета) на 2023 год</t>
  </si>
  <si>
    <t>13.1  Расчет (обоснование) расходов на оплату работ, услуг в целях капитального ремонта ( за счет  краевого бюджета) на 2023 год</t>
  </si>
  <si>
    <t>14.1  Расчеты (обоснования)  на оплату прочих работ, услуг  ( за счет краевого бюджета) на 2023 год</t>
  </si>
  <si>
    <t>14.2  Расчеты (обоснования)  на оплату прочих работ, услуг  ( за счет краевого бюджета) на 2023 год</t>
  </si>
  <si>
    <t>14.3  Расчеты (обоснования)  на оплату прочих работ, услуг  ( за счет краевого бюджета) на 2023 год</t>
  </si>
  <si>
    <t>14.4  Расчеты (обоснования)  на оплату прочих работ, услуг  ( за счет краевого бюджета) на 2023 год</t>
  </si>
  <si>
    <t>14.5  Расчеты (обоснования)  на оплату прочих работ, услуг  ( за счет краевого бюджета) на 2023 год</t>
  </si>
  <si>
    <t>14.7  Расчеты (обоснования)  на оплату прочих работ, услуг, увеличение стоимости прочих оборотных запасов и основных средств  ( за счет краевого бюджета) на 2023 год</t>
  </si>
  <si>
    <t>15.1  Расчет (обоснование) расходов на пособия по социальной помощи населению ( за счет средств краевого бюджета) на 2023 год</t>
  </si>
  <si>
    <t>17.1  Расчет (обоснование) расходов на оплату работ, услуг в целях капитального ремонта ( за счет  районного бюджета) на 2023 год</t>
  </si>
  <si>
    <t>17.2  Расчет (обоснование) расходов на оплату работ, услуг в целях капитального ремонта ( за счет  районного бюджета) на 2023 год</t>
  </si>
  <si>
    <t>18.1  Расчеты (обоснования)  на оплату прочих работ, услуг  ( за счет районного бюджета) на 2023 год</t>
  </si>
  <si>
    <t>18.2  Расчеты (обоснования)  на оплату прочих работ, услуг  ( за счет районного бюджета) на 2023 год</t>
  </si>
  <si>
    <t>18.3  Расчеты (обоснования)  на оплату прочих работ, услуг  ( за счет районного бюджета) на 2023 год</t>
  </si>
  <si>
    <t>18.4  Расчеты (обоснования)  на оплату прочих работ, услуг  ( за счет районного бюджета) на 2023 год</t>
  </si>
  <si>
    <t>18.5  Расчеты (обоснования)  на оплату прочих работ, услуг  ( за счет районного бюджета) на 2023 год</t>
  </si>
  <si>
    <t>19.1  Расчет (обоснование) расходов на пособия по социальной помощи населению ( за счет средств районного бюджета) на 2023 год</t>
  </si>
  <si>
    <t>Оплата потребления электроэнергии (остаток 2022 гола)</t>
  </si>
  <si>
    <t xml:space="preserve">Заработная плата </t>
  </si>
  <si>
    <t>9.3  Расчет (обоснование) выплат на оплату труда ( за счет платных услуг) на 2023 год</t>
  </si>
  <si>
    <t>9.4  Расчеты (обоснования) страховых взносов ( за счет платных услуг) на 2023 год</t>
  </si>
  <si>
    <t>Оценка рыночной стоимости годовой арендной платы (остаток 2022 года)</t>
  </si>
  <si>
    <t>Канцелярские товары (остаток 2022 года)</t>
  </si>
  <si>
    <t>Приобретение лакокрасочных,строительных и расходных материалов (остаток 2022 года)</t>
  </si>
  <si>
    <t>Приобретение лакокрасочных,строительных и расходных материалов (аренда Знание) (остаток 2022 года)</t>
  </si>
  <si>
    <t>Заработная плата несовершеннолетних (остаток 2022 года)</t>
  </si>
  <si>
    <t>Страховые взносы (остаток 2022 года)</t>
  </si>
  <si>
    <t>Хозяйственные товары (остаток 2022 года)</t>
  </si>
  <si>
    <t>Субсидия на проведение мероприятий в рамках муниципальной программы «Обеспечение безопасности населения и территорий Тимашевского района» подпрограммы «Мероприятия по пожарной безопасности». (Монтаж автоматической пожарной сигнализации и системы оповещения людей о пожаре на объекте)</t>
  </si>
  <si>
    <t xml:space="preserve">Научно-технические услуги по предоставлению, развитию и технической поддержке корпоративных сервисов Региональной корпоративной сети образовательных организаций Краснодарского края </t>
  </si>
  <si>
    <t xml:space="preserve">Предоставление субсидии муниципальным организациям образования на осуществление мероприятий муниципальной программы муниципального образования Тимашевский район "Доступная среда" </t>
  </si>
  <si>
    <t>X</t>
  </si>
  <si>
    <t>18.5    Расчет (обоснования)  расходов на увеличение стоимости основных средств ( за счет районного бюджета) на 2023 год</t>
  </si>
  <si>
    <t>18.6  Расчеты (обоснования)  на оплату прочих работ, услуг  ( за счет районного бюджета) на 2023 год</t>
  </si>
  <si>
    <t>Субсидия на меры социальной поддержки в виде обеспечения ежедневным бесплатным одноразовым питанием детей из семей граждан, призванных на военную службу по мобилизации в Вооружённые Силы Российской Федерации.</t>
  </si>
  <si>
    <t>18.7  Расчеты (обоснования)  на оплату прочих работ, услуг  ( за счет районного бюджета) на 2023 год</t>
  </si>
  <si>
    <t>18.8  Расчет (обоснование) расходов на увеличение стоимости основных средств ( за счет районного бюджета) на 2023 год</t>
  </si>
  <si>
    <t>Субсидия на организацию военно-патриотической работы с учащимися, в том числе: посещение музеев, проведение экскурсионных выездов.</t>
  </si>
  <si>
    <t xml:space="preserve">Предоставление субсидии муниципальным образовательным организациям на выплату компенсации по организации горячего питания. </t>
  </si>
  <si>
    <t>Восстановление доступа к корпоративным снрвисам</t>
  </si>
  <si>
    <t>Приобретение принтеров</t>
  </si>
  <si>
    <t>Отчёт 2ТП</t>
  </si>
  <si>
    <t xml:space="preserve">Проведение лабораторно-электрических испытаний электрооборудования (аренда Райпо) </t>
  </si>
  <si>
    <t>Субсидия на проведение мероприятий в рамках муниципальной программы «Обеспечение безопасности населения и территорий Тимашевского района» подпрограммы «Мероприятия по пожарной безопасности». (Капитальный ремонт систем автоматической пожарной сигнализации и  оповещения людей о пожаре на объекте МБОУ СОШ №1)</t>
  </si>
  <si>
    <t>Термометр бесконтактный</t>
  </si>
  <si>
    <t>Субсидия на дополнительную помощь местным бюджетам для решения социально значимых вопросов  местного значения (Капитальный и текущий ремонт, благоустройство территории, материально-техническое обеспечение образовательных организаций) (Приобретение линолеума)</t>
  </si>
  <si>
    <t>14.6  Расчет (обоснование) расходов на увеличение стоимости основных средств и строительных материалов  (за счет краевого бюджета) на 2023 год</t>
  </si>
  <si>
    <t xml:space="preserve">Приобретение лакокрасочных,строительных и расходных материалов </t>
  </si>
  <si>
    <t>Субсидия на дополнительную помощь местным бюджетам для решения социально значимых вопросов  местного значения (Капитальный и текущий ремонт, благоустройство территории, материально-техническое обеспечение образовательных организаций) (Приобретение мебели столы,стулья)</t>
  </si>
  <si>
    <t xml:space="preserve">Заработная плата несовершеннолетних </t>
  </si>
  <si>
    <t>доходы по условным арендным платежам</t>
  </si>
  <si>
    <t>Бумага</t>
  </si>
  <si>
    <t>8.15   Расчет (обоснование) расходов на увеличение стоимости основных средств ( за счет арендной платы) на 2023 год</t>
  </si>
  <si>
    <t>Жалюзи горизонтальные белые</t>
  </si>
  <si>
    <t>Тонер</t>
  </si>
  <si>
    <t>Учебно-наглядное пособие "85 истории о Краснодарском крае"</t>
  </si>
  <si>
    <t>Аккумуляторная батарея для ИБП</t>
  </si>
  <si>
    <t>Сетевой фильтр</t>
  </si>
  <si>
    <t>Неисключительное право на использование программного продукта "АТМ" "ФРС о документахоб обучении"</t>
  </si>
  <si>
    <t>8.17  Расчет (обоснование) расходов на увеличение стоимости прочих оборотных запасов ( за счет арендной платы) на 2023 год</t>
  </si>
  <si>
    <t xml:space="preserve">Хозяйственные товары (аренда Знание) </t>
  </si>
  <si>
    <t>Светильник светодиодный (аренда Знание)</t>
  </si>
  <si>
    <t xml:space="preserve">Инвентарь для пищеблока (аренда Райпо) </t>
  </si>
  <si>
    <t>Стеклопакет (аренда Знание)</t>
  </si>
  <si>
    <t>Фурнитура оконная (аренда Знание)</t>
  </si>
  <si>
    <t>Петля на двери из ПВХ (аренда Знание)</t>
  </si>
  <si>
    <t>Нажимной механизм (ручка дверная) (аренда Знание)</t>
  </si>
  <si>
    <t>Монтаж сплит-системы</t>
  </si>
  <si>
    <t>Сплит-система</t>
  </si>
  <si>
    <t>Ремонт холодильного оборудования в пищеблоке (аренда Райпо)</t>
  </si>
  <si>
    <t>Опрессовка системы отопления</t>
  </si>
  <si>
    <t xml:space="preserve">Стеклопакеты,фурнитура оконная (аренда Райпо) </t>
  </si>
  <si>
    <t>Саморезы, дюбеля,зажимы одинарные</t>
  </si>
  <si>
    <t>Исследование и техническое заключение объекта недвижимости</t>
  </si>
  <si>
    <t xml:space="preserve">Приобретение лакокрасочных,строительных и расходных материалов (аренда Знание) </t>
  </si>
  <si>
    <t>Кисти,ролики,розетки (аренда Знание)</t>
  </si>
  <si>
    <t>Жалюзи рулонные (аренда Знание)</t>
  </si>
  <si>
    <t>Баннеры (аренда Знание)</t>
  </si>
  <si>
    <t>3.1 Расчеты (обоснования) выплат на оплату труда ( за счет районного бюджета) на 2023 год</t>
  </si>
  <si>
    <t>3.2 Расчеты (обоснования) страховых взносов ( за счет районного бюджета) на 2023 год</t>
  </si>
  <si>
    <t>Стенды (аренда Знание)</t>
  </si>
  <si>
    <t>Морозильный ларь (аренда Райпо)</t>
  </si>
  <si>
    <t>8.16   Расчет (обоснование) расходов на увеличение стоимости основных средств ( за счет арендной платы) на 2023 год</t>
  </si>
  <si>
    <t>8.18  Расчет (обоснование) расходов на увеличение стоимости прочих оборотных запасов ( за счет арендной платы) на 2023 год</t>
  </si>
  <si>
    <t>Моющие и чистящие средства (аренда Райпо)</t>
  </si>
  <si>
    <t>Частичная компенсация удорожания стоимости питания учащихся дневных муниципальных образовательных организаций, реализующих общеобразовательные программы, из расчета 9,0 рублей в день на одного обучающегося</t>
  </si>
  <si>
    <t>Широкоформатная печать,печать ПВХЗ (аренда Знание)</t>
  </si>
  <si>
    <t>Отчет о финансировании школы из бюджетов различных уровней и расходовании средств, включая родительские средства.</t>
  </si>
  <si>
    <t>Субсидии на выполнение муниципального задания (район)</t>
  </si>
  <si>
    <t xml:space="preserve"> Субсидии на выполнение муниципального задания  (край)</t>
  </si>
  <si>
    <t>от   "01" декабря  2023 г.</t>
  </si>
  <si>
    <t>"01" декабря 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</si>
</sst>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"/>
    <numFmt numFmtId="175" formatCode="0.00;[Red]0.00"/>
    <numFmt numFmtId="176" formatCode="#,##0.000"/>
  </numFmts>
  <fonts count="6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55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55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 vertical="top"/>
    </xf>
    <xf numFmtId="49" fontId="5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" fontId="56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textRotation="90" wrapText="1"/>
    </xf>
    <xf numFmtId="0" fontId="10" fillId="0" borderId="14" xfId="0" applyNumberFormat="1" applyFont="1" applyBorder="1" applyAlignment="1">
      <alignment horizontal="center" textRotation="90" wrapText="1"/>
    </xf>
    <xf numFmtId="0" fontId="10" fillId="0" borderId="15" xfId="0" applyNumberFormat="1" applyFont="1" applyBorder="1" applyAlignment="1">
      <alignment horizontal="center" textRotation="90" wrapText="1"/>
    </xf>
    <xf numFmtId="49" fontId="56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0" fillId="33" borderId="12" xfId="0" applyNumberFormat="1" applyFont="1" applyFill="1" applyBorder="1" applyAlignment="1">
      <alignment horizontal="center"/>
    </xf>
    <xf numFmtId="4" fontId="56" fillId="33" borderId="12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56" fillId="33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10" fillId="33" borderId="12" xfId="0" applyNumberFormat="1" applyFont="1" applyFill="1" applyBorder="1" applyAlignment="1">
      <alignment horizontal="center"/>
    </xf>
    <xf numFmtId="49" fontId="56" fillId="33" borderId="12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172" fontId="10" fillId="33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172" fontId="57" fillId="33" borderId="0" xfId="0" applyNumberFormat="1" applyFont="1" applyFill="1" applyBorder="1" applyAlignment="1">
      <alignment/>
    </xf>
    <xf numFmtId="172" fontId="57" fillId="33" borderId="0" xfId="0" applyNumberFormat="1" applyFont="1" applyFill="1" applyBorder="1" applyAlignment="1">
      <alignment horizontal="center"/>
    </xf>
    <xf numFmtId="172" fontId="59" fillId="33" borderId="0" xfId="0" applyNumberFormat="1" applyFont="1" applyFill="1" applyBorder="1" applyAlignment="1">
      <alignment/>
    </xf>
    <xf numFmtId="172" fontId="59" fillId="33" borderId="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172" fontId="59" fillId="33" borderId="0" xfId="0" applyNumberFormat="1" applyFont="1" applyFill="1" applyBorder="1" applyAlignment="1">
      <alignment/>
    </xf>
    <xf numFmtId="172" fontId="59" fillId="33" borderId="0" xfId="0" applyNumberFormat="1" applyFont="1" applyFill="1" applyBorder="1" applyAlignment="1">
      <alignment horizontal="right"/>
    </xf>
    <xf numFmtId="4" fontId="57" fillId="33" borderId="12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 wrapText="1"/>
    </xf>
    <xf numFmtId="0" fontId="57" fillId="33" borderId="0" xfId="0" applyFont="1" applyFill="1" applyAlignment="1">
      <alignment horizontal="center" vertical="center" wrapText="1"/>
    </xf>
    <xf numFmtId="172" fontId="57" fillId="33" borderId="0" xfId="0" applyNumberFormat="1" applyFont="1" applyFill="1" applyBorder="1" applyAlignment="1">
      <alignment wrapText="1"/>
    </xf>
    <xf numFmtId="0" fontId="57" fillId="33" borderId="12" xfId="0" applyFont="1" applyFill="1" applyBorder="1" applyAlignment="1">
      <alignment wrapText="1"/>
    </xf>
    <xf numFmtId="0" fontId="58" fillId="33" borderId="0" xfId="0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/>
    </xf>
    <xf numFmtId="10" fontId="57" fillId="33" borderId="12" xfId="0" applyNumberFormat="1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55" fillId="33" borderId="12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textRotation="90" wrapText="1"/>
    </xf>
    <xf numFmtId="4" fontId="56" fillId="34" borderId="12" xfId="0" applyNumberFormat="1" applyFont="1" applyFill="1" applyBorder="1" applyAlignment="1">
      <alignment horizontal="center"/>
    </xf>
    <xf numFmtId="4" fontId="10" fillId="34" borderId="12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56" fillId="34" borderId="12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left"/>
    </xf>
    <xf numFmtId="4" fontId="57" fillId="33" borderId="12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horizontal="left"/>
    </xf>
    <xf numFmtId="176" fontId="56" fillId="33" borderId="12" xfId="0" applyNumberFormat="1" applyFont="1" applyFill="1" applyBorder="1" applyAlignment="1">
      <alignment horizontal="center"/>
    </xf>
    <xf numFmtId="172" fontId="57" fillId="35" borderId="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4" fontId="12" fillId="33" borderId="12" xfId="0" applyNumberFormat="1" applyFont="1" applyFill="1" applyBorder="1" applyAlignment="1">
      <alignment/>
    </xf>
    <xf numFmtId="172" fontId="57" fillId="35" borderId="0" xfId="0" applyNumberFormat="1" applyFont="1" applyFill="1" applyBorder="1" applyAlignment="1">
      <alignment horizontal="center" vertical="center"/>
    </xf>
    <xf numFmtId="172" fontId="57" fillId="35" borderId="0" xfId="0" applyNumberFormat="1" applyFont="1" applyFill="1" applyBorder="1" applyAlignment="1">
      <alignment horizontal="center"/>
    </xf>
    <xf numFmtId="172" fontId="59" fillId="35" borderId="0" xfId="0" applyNumberFormat="1" applyFont="1" applyFill="1" applyBorder="1" applyAlignment="1">
      <alignment/>
    </xf>
    <xf numFmtId="4" fontId="11" fillId="35" borderId="0" xfId="0" applyNumberFormat="1" applyFont="1" applyFill="1" applyBorder="1" applyAlignment="1">
      <alignment horizontal="left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wrapText="1"/>
    </xf>
    <xf numFmtId="0" fontId="57" fillId="33" borderId="12" xfId="0" applyNumberFormat="1" applyFont="1" applyFill="1" applyBorder="1" applyAlignment="1">
      <alignment horizontal="center"/>
    </xf>
    <xf numFmtId="0" fontId="57" fillId="33" borderId="17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12" fillId="33" borderId="12" xfId="58" applyNumberFormat="1" applyFont="1" applyFill="1" applyBorder="1" applyAlignment="1">
      <alignment horizontal="center"/>
    </xf>
    <xf numFmtId="0" fontId="57" fillId="33" borderId="16" xfId="0" applyFont="1" applyFill="1" applyBorder="1" applyAlignment="1">
      <alignment horizontal="right"/>
    </xf>
    <xf numFmtId="0" fontId="56" fillId="0" borderId="12" xfId="0" applyNumberFormat="1" applyFont="1" applyBorder="1" applyAlignment="1">
      <alignment horizontal="center" vertical="top"/>
    </xf>
    <xf numFmtId="4" fontId="56" fillId="0" borderId="12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left"/>
    </xf>
    <xf numFmtId="4" fontId="57" fillId="33" borderId="0" xfId="0" applyNumberFormat="1" applyFont="1" applyFill="1" applyAlignment="1">
      <alignment/>
    </xf>
    <xf numFmtId="4" fontId="12" fillId="33" borderId="12" xfId="0" applyNumberFormat="1" applyFont="1" applyFill="1" applyBorder="1" applyAlignment="1">
      <alignment/>
    </xf>
    <xf numFmtId="4" fontId="57" fillId="33" borderId="0" xfId="0" applyNumberFormat="1" applyFont="1" applyFill="1" applyAlignment="1">
      <alignment horizontal="center" vertical="center"/>
    </xf>
    <xf numFmtId="0" fontId="57" fillId="33" borderId="12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4" fontId="11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57" fillId="33" borderId="0" xfId="0" applyFont="1" applyFill="1" applyBorder="1" applyAlignment="1">
      <alignment horizontal="left"/>
    </xf>
    <xf numFmtId="4" fontId="57" fillId="33" borderId="0" xfId="0" applyNumberFormat="1" applyFont="1" applyFill="1" applyBorder="1" applyAlignment="1">
      <alignment horizontal="right"/>
    </xf>
    <xf numFmtId="0" fontId="57" fillId="33" borderId="16" xfId="0" applyNumberFormat="1" applyFont="1" applyFill="1" applyBorder="1" applyAlignment="1">
      <alignment/>
    </xf>
    <xf numFmtId="0" fontId="57" fillId="33" borderId="18" xfId="0" applyFont="1" applyFill="1" applyBorder="1" applyAlignment="1">
      <alignment wrapText="1"/>
    </xf>
    <xf numFmtId="0" fontId="57" fillId="33" borderId="2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2" fontId="57" fillId="33" borderId="12" xfId="0" applyNumberFormat="1" applyFont="1" applyFill="1" applyBorder="1" applyAlignment="1">
      <alignment/>
    </xf>
    <xf numFmtId="2" fontId="57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173" fontId="57" fillId="33" borderId="12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57" fillId="33" borderId="0" xfId="0" applyFont="1" applyFill="1" applyAlignment="1">
      <alignment horizontal="right"/>
    </xf>
    <xf numFmtId="0" fontId="57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57" fillId="33" borderId="17" xfId="0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59" fillId="33" borderId="0" xfId="0" applyNumberFormat="1" applyFont="1" applyFill="1" applyAlignment="1">
      <alignment horizontal="left"/>
    </xf>
    <xf numFmtId="172" fontId="59" fillId="35" borderId="0" xfId="0" applyNumberFormat="1" applyFont="1" applyFill="1" applyBorder="1" applyAlignment="1">
      <alignment horizontal="left"/>
    </xf>
    <xf numFmtId="172" fontId="57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172" fontId="59" fillId="3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57" fillId="33" borderId="17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/>
    </xf>
    <xf numFmtId="4" fontId="57" fillId="33" borderId="12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wrapText="1"/>
    </xf>
    <xf numFmtId="4" fontId="57" fillId="33" borderId="21" xfId="0" applyNumberFormat="1" applyFont="1" applyFill="1" applyBorder="1" applyAlignment="1">
      <alignment horizontal="center"/>
    </xf>
    <xf numFmtId="172" fontId="57" fillId="33" borderId="0" xfId="0" applyNumberFormat="1" applyFont="1" applyFill="1" applyBorder="1" applyAlignment="1">
      <alignment vertical="center"/>
    </xf>
    <xf numFmtId="4" fontId="57" fillId="33" borderId="12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12" xfId="0" applyFont="1" applyFill="1" applyBorder="1" applyAlignment="1">
      <alignment horizontal="center" vertical="center"/>
    </xf>
    <xf numFmtId="0" fontId="57" fillId="36" borderId="0" xfId="0" applyFont="1" applyFill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Border="1" applyAlignment="1">
      <alignment/>
    </xf>
    <xf numFmtId="0" fontId="57" fillId="36" borderId="19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7" fillId="36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left" wrapText="1"/>
    </xf>
    <xf numFmtId="0" fontId="57" fillId="33" borderId="19" xfId="0" applyFont="1" applyFill="1" applyBorder="1" applyAlignment="1">
      <alignment horizontal="left" wrapText="1"/>
    </xf>
    <xf numFmtId="0" fontId="57" fillId="33" borderId="18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center" wrapText="1"/>
    </xf>
    <xf numFmtId="4" fontId="12" fillId="33" borderId="17" xfId="0" applyNumberFormat="1" applyFont="1" applyFill="1" applyBorder="1" applyAlignment="1">
      <alignment horizontal="right"/>
    </xf>
    <xf numFmtId="4" fontId="12" fillId="33" borderId="18" xfId="0" applyNumberFormat="1" applyFont="1" applyFill="1" applyBorder="1" applyAlignment="1">
      <alignment horizontal="right"/>
    </xf>
    <xf numFmtId="4" fontId="57" fillId="33" borderId="17" xfId="0" applyNumberFormat="1" applyFont="1" applyFill="1" applyBorder="1" applyAlignment="1">
      <alignment horizontal="center"/>
    </xf>
    <xf numFmtId="4" fontId="57" fillId="33" borderId="18" xfId="0" applyNumberFormat="1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4" fontId="12" fillId="33" borderId="17" xfId="0" applyNumberFormat="1" applyFont="1" applyFill="1" applyBorder="1" applyAlignment="1">
      <alignment horizontal="center"/>
    </xf>
    <xf numFmtId="4" fontId="12" fillId="33" borderId="18" xfId="0" applyNumberFormat="1" applyFont="1" applyFill="1" applyBorder="1" applyAlignment="1">
      <alignment horizontal="center"/>
    </xf>
    <xf numFmtId="4" fontId="57" fillId="33" borderId="12" xfId="0" applyNumberFormat="1" applyFont="1" applyFill="1" applyBorder="1" applyAlignment="1">
      <alignment horizontal="right"/>
    </xf>
    <xf numFmtId="0" fontId="57" fillId="33" borderId="17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7" fillId="33" borderId="18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center" wrapText="1"/>
    </xf>
    <xf numFmtId="0" fontId="57" fillId="33" borderId="18" xfId="0" applyFont="1" applyFill="1" applyBorder="1" applyAlignment="1">
      <alignment horizontal="center" wrapText="1"/>
    </xf>
    <xf numFmtId="4" fontId="57" fillId="33" borderId="17" xfId="0" applyNumberFormat="1" applyFont="1" applyFill="1" applyBorder="1" applyAlignment="1">
      <alignment horizontal="right"/>
    </xf>
    <xf numFmtId="4" fontId="57" fillId="33" borderId="18" xfId="0" applyNumberFormat="1" applyFont="1" applyFill="1" applyBorder="1" applyAlignment="1">
      <alignment horizontal="right"/>
    </xf>
    <xf numFmtId="0" fontId="57" fillId="33" borderId="17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/>
    </xf>
    <xf numFmtId="4" fontId="57" fillId="33" borderId="12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left" vertical="center" wrapText="1"/>
    </xf>
    <xf numFmtId="172" fontId="57" fillId="33" borderId="0" xfId="0" applyNumberFormat="1" applyFont="1" applyFill="1" applyBorder="1" applyAlignment="1">
      <alignment vertical="center"/>
    </xf>
    <xf numFmtId="0" fontId="10" fillId="33" borderId="12" xfId="53" applyFont="1" applyFill="1" applyBorder="1" applyAlignment="1">
      <alignment horizontal="left" vertical="center" wrapText="1"/>
      <protection/>
    </xf>
    <xf numFmtId="174" fontId="57" fillId="33" borderId="12" xfId="0" applyNumberFormat="1" applyFont="1" applyFill="1" applyBorder="1" applyAlignment="1">
      <alignment horizontal="center"/>
    </xf>
    <xf numFmtId="0" fontId="10" fillId="33" borderId="17" xfId="53" applyFont="1" applyFill="1" applyBorder="1" applyAlignment="1">
      <alignment horizontal="left" vertical="center" wrapText="1"/>
      <protection/>
    </xf>
    <xf numFmtId="0" fontId="10" fillId="33" borderId="19" xfId="53" applyFont="1" applyFill="1" applyBorder="1" applyAlignment="1">
      <alignment horizontal="left" vertical="center" wrapText="1"/>
      <protection/>
    </xf>
    <xf numFmtId="0" fontId="10" fillId="33" borderId="18" xfId="53" applyFont="1" applyFill="1" applyBorder="1" applyAlignment="1">
      <alignment horizontal="left" vertical="center" wrapText="1"/>
      <protection/>
    </xf>
    <xf numFmtId="174" fontId="57" fillId="33" borderId="17" xfId="0" applyNumberFormat="1" applyFont="1" applyFill="1" applyBorder="1" applyAlignment="1">
      <alignment horizontal="center"/>
    </xf>
    <xf numFmtId="174" fontId="57" fillId="33" borderId="18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7" fillId="33" borderId="20" xfId="0" applyFont="1" applyFill="1" applyBorder="1" applyAlignment="1">
      <alignment horizontal="left"/>
    </xf>
    <xf numFmtId="0" fontId="57" fillId="33" borderId="23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4" fontId="57" fillId="33" borderId="21" xfId="0" applyNumberFormat="1" applyFont="1" applyFill="1" applyBorder="1" applyAlignment="1">
      <alignment horizontal="center"/>
    </xf>
    <xf numFmtId="4" fontId="57" fillId="33" borderId="23" xfId="0" applyNumberFormat="1" applyFont="1" applyFill="1" applyBorder="1" applyAlignment="1">
      <alignment horizontal="center"/>
    </xf>
    <xf numFmtId="0" fontId="57" fillId="33" borderId="16" xfId="0" applyNumberFormat="1" applyFont="1" applyFill="1" applyBorder="1" applyAlignment="1">
      <alignment horizontal="center"/>
    </xf>
    <xf numFmtId="0" fontId="57" fillId="33" borderId="22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left"/>
    </xf>
    <xf numFmtId="0" fontId="56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33" borderId="12" xfId="0" applyNumberFormat="1" applyFont="1" applyFill="1" applyBorder="1" applyAlignment="1">
      <alignment horizontal="left" wrapText="1"/>
    </xf>
    <xf numFmtId="0" fontId="10" fillId="33" borderId="12" xfId="0" applyNumberFormat="1" applyFont="1" applyFill="1" applyBorder="1" applyAlignment="1">
      <alignment horizontal="left"/>
    </xf>
    <xf numFmtId="0" fontId="11" fillId="34" borderId="12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10" fillId="33" borderId="19" xfId="0" applyNumberFormat="1" applyFont="1" applyFill="1" applyBorder="1" applyAlignment="1">
      <alignment horizontal="left"/>
    </xf>
    <xf numFmtId="0" fontId="10" fillId="33" borderId="18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 wrapText="1"/>
    </xf>
    <xf numFmtId="0" fontId="10" fillId="33" borderId="19" xfId="0" applyNumberFormat="1" applyFont="1" applyFill="1" applyBorder="1" applyAlignment="1">
      <alignment horizontal="left" wrapText="1"/>
    </xf>
    <xf numFmtId="0" fontId="10" fillId="33" borderId="18" xfId="0" applyNumberFormat="1" applyFont="1" applyFill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10" fillId="34" borderId="17" xfId="0" applyNumberFormat="1" applyFont="1" applyFill="1" applyBorder="1" applyAlignment="1">
      <alignment horizontal="left" wrapText="1"/>
    </xf>
    <xf numFmtId="0" fontId="10" fillId="34" borderId="19" xfId="0" applyNumberFormat="1" applyFont="1" applyFill="1" applyBorder="1" applyAlignment="1">
      <alignment horizontal="left" wrapText="1"/>
    </xf>
    <xf numFmtId="0" fontId="10" fillId="34" borderId="18" xfId="0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10" fillId="0" borderId="22" xfId="0" applyNumberFormat="1" applyFont="1" applyBorder="1" applyAlignment="1">
      <alignment horizontal="center" vertical="center" textRotation="90" wrapText="1"/>
    </xf>
    <xf numFmtId="0" fontId="10" fillId="0" borderId="2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61" fillId="0" borderId="0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72"/>
  <sheetViews>
    <sheetView tabSelected="1" view="pageBreakPreview" zoomScaleSheetLayoutView="100" workbookViewId="0" topLeftCell="C12">
      <selection activeCell="G17" sqref="G17:K18"/>
    </sheetView>
  </sheetViews>
  <sheetFormatPr defaultColWidth="17.75390625" defaultRowHeight="12.75"/>
  <cols>
    <col min="1" max="1" width="8.625" style="8" customWidth="1"/>
    <col min="2" max="2" width="17.75390625" style="8" customWidth="1"/>
    <col min="3" max="3" width="29.125" style="8" customWidth="1"/>
    <col min="4" max="4" width="11.625" style="8" customWidth="1"/>
    <col min="5" max="5" width="8.625" style="8" customWidth="1"/>
    <col min="6" max="6" width="7.75390625" style="8" customWidth="1"/>
    <col min="7" max="7" width="15.25390625" style="8" customWidth="1"/>
    <col min="8" max="8" width="18.00390625" style="8" customWidth="1"/>
    <col min="9" max="9" width="19.00390625" style="8" customWidth="1"/>
    <col min="10" max="10" width="21.625" style="8" customWidth="1"/>
    <col min="11" max="11" width="19.625" style="8" customWidth="1"/>
    <col min="12" max="12" width="19.25390625" style="8" customWidth="1"/>
    <col min="13" max="13" width="17.25390625" style="8" customWidth="1"/>
    <col min="14" max="14" width="16.625" style="8" customWidth="1"/>
    <col min="15" max="15" width="18.875" style="8" customWidth="1"/>
    <col min="16" max="16" width="1.875" style="8" hidden="1" customWidth="1"/>
    <col min="17" max="17" width="23.25390625" style="1" bestFit="1" customWidth="1"/>
    <col min="18" max="18" width="24.00390625" style="1" bestFit="1" customWidth="1"/>
    <col min="19" max="16384" width="17.75390625" style="1" customWidth="1"/>
  </cols>
  <sheetData>
    <row r="1" ht="14.25" customHeight="1"/>
    <row r="2" ht="14.25" customHeight="1"/>
    <row r="3" spans="1:16" s="2" customFormat="1" ht="18.75">
      <c r="A3" s="8"/>
      <c r="B3" s="8"/>
      <c r="C3" s="8"/>
      <c r="D3" s="8"/>
      <c r="E3" s="8"/>
      <c r="F3" s="8"/>
      <c r="G3" s="8"/>
      <c r="H3" s="8"/>
      <c r="I3" s="8"/>
      <c r="J3" s="9"/>
      <c r="K3" s="9"/>
      <c r="L3" s="287" t="s">
        <v>4</v>
      </c>
      <c r="M3" s="287"/>
      <c r="N3" s="287"/>
      <c r="O3" s="287"/>
      <c r="P3" s="8"/>
    </row>
    <row r="4" spans="1:16" s="2" customFormat="1" ht="18.75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288" t="s">
        <v>274</v>
      </c>
      <c r="M4" s="288"/>
      <c r="N4" s="288"/>
      <c r="O4" s="288"/>
      <c r="P4" s="8"/>
    </row>
    <row r="5" spans="1:16" s="3" customFormat="1" ht="18.75">
      <c r="A5" s="8"/>
      <c r="B5" s="8"/>
      <c r="C5" s="8"/>
      <c r="D5" s="8"/>
      <c r="E5" s="8"/>
      <c r="F5" s="8"/>
      <c r="G5" s="8"/>
      <c r="H5" s="8"/>
      <c r="I5" s="11"/>
      <c r="J5" s="11"/>
      <c r="K5" s="11"/>
      <c r="L5" s="12" t="s">
        <v>142</v>
      </c>
      <c r="M5" s="12"/>
      <c r="N5" s="12"/>
      <c r="O5" s="12"/>
      <c r="P5" s="8"/>
    </row>
    <row r="6" spans="1:16" s="3" customFormat="1" ht="18.75" customHeight="1">
      <c r="A6" s="8"/>
      <c r="B6" s="8"/>
      <c r="C6" s="8"/>
      <c r="D6" s="8"/>
      <c r="E6" s="8"/>
      <c r="F6" s="8"/>
      <c r="G6" s="8"/>
      <c r="H6" s="8"/>
      <c r="I6" s="11"/>
      <c r="J6" s="11"/>
      <c r="K6" s="11"/>
      <c r="L6" s="289" t="s">
        <v>275</v>
      </c>
      <c r="M6" s="289"/>
      <c r="N6" s="289"/>
      <c r="O6" s="289"/>
      <c r="P6" s="8"/>
    </row>
    <row r="7" spans="1:16" s="3" customFormat="1" ht="18.75">
      <c r="A7" s="8"/>
      <c r="B7" s="8"/>
      <c r="C7" s="8"/>
      <c r="D7" s="8"/>
      <c r="E7" s="8"/>
      <c r="F7" s="8"/>
      <c r="G7" s="8"/>
      <c r="H7" s="8"/>
      <c r="I7" s="11"/>
      <c r="J7" s="11"/>
      <c r="K7" s="11"/>
      <c r="L7" s="289"/>
      <c r="M7" s="289"/>
      <c r="N7" s="289"/>
      <c r="O7" s="289"/>
      <c r="P7" s="8"/>
    </row>
    <row r="8" spans="1:16" s="3" customFormat="1" ht="18.75">
      <c r="A8" s="8"/>
      <c r="B8" s="8"/>
      <c r="C8" s="8"/>
      <c r="D8" s="8"/>
      <c r="E8" s="8"/>
      <c r="F8" s="8"/>
      <c r="G8" s="8"/>
      <c r="H8" s="8"/>
      <c r="I8" s="11"/>
      <c r="J8" s="11"/>
      <c r="K8" s="11"/>
      <c r="L8" s="289"/>
      <c r="M8" s="289"/>
      <c r="N8" s="289"/>
      <c r="O8" s="289"/>
      <c r="P8" s="8"/>
    </row>
    <row r="9" spans="1:16" s="2" customFormat="1" ht="18" customHeight="1">
      <c r="A9" s="8"/>
      <c r="B9" s="8"/>
      <c r="C9" s="8"/>
      <c r="D9" s="8"/>
      <c r="E9" s="8"/>
      <c r="F9" s="8"/>
      <c r="G9" s="8"/>
      <c r="H9" s="8"/>
      <c r="I9" s="13"/>
      <c r="J9" s="13"/>
      <c r="K9" s="13"/>
      <c r="L9" s="290"/>
      <c r="M9" s="290"/>
      <c r="N9" s="290"/>
      <c r="O9" s="290"/>
      <c r="P9" s="74"/>
    </row>
    <row r="10" spans="1:16" s="3" customFormat="1" ht="18.75">
      <c r="A10" s="8"/>
      <c r="B10" s="8"/>
      <c r="C10" s="8"/>
      <c r="D10" s="8"/>
      <c r="E10" s="8"/>
      <c r="F10" s="8"/>
      <c r="G10" s="8"/>
      <c r="H10" s="8"/>
      <c r="I10" s="11"/>
      <c r="J10" s="11"/>
      <c r="K10" s="11"/>
      <c r="L10" s="12" t="s">
        <v>143</v>
      </c>
      <c r="M10" s="12"/>
      <c r="N10" s="12"/>
      <c r="O10" s="12"/>
      <c r="P10" s="8"/>
    </row>
    <row r="11" spans="1:16" s="2" customFormat="1" ht="19.5">
      <c r="A11" s="8"/>
      <c r="B11" s="8"/>
      <c r="C11" s="8"/>
      <c r="D11" s="8"/>
      <c r="E11" s="8"/>
      <c r="F11" s="8"/>
      <c r="G11" s="8"/>
      <c r="H11" s="8"/>
      <c r="I11" s="13"/>
      <c r="J11" s="13"/>
      <c r="K11" s="13"/>
      <c r="L11" s="10"/>
      <c r="M11" s="13"/>
      <c r="N11" s="291" t="s">
        <v>263</v>
      </c>
      <c r="O11" s="291"/>
      <c r="P11" s="8"/>
    </row>
    <row r="12" spans="1:16" s="3" customFormat="1" ht="18.75">
      <c r="A12" s="8"/>
      <c r="B12" s="8"/>
      <c r="C12" s="8"/>
      <c r="D12" s="8"/>
      <c r="E12" s="8"/>
      <c r="F12" s="8"/>
      <c r="G12" s="8"/>
      <c r="H12" s="8"/>
      <c r="I12" s="11"/>
      <c r="J12" s="11"/>
      <c r="K12" s="11"/>
      <c r="L12" s="14" t="s">
        <v>3</v>
      </c>
      <c r="M12" s="11"/>
      <c r="N12" s="8" t="s">
        <v>144</v>
      </c>
      <c r="O12" s="14"/>
      <c r="P12" s="8"/>
    </row>
    <row r="13" spans="1:16" s="2" customFormat="1" ht="19.5">
      <c r="A13" s="8"/>
      <c r="B13" s="8"/>
      <c r="C13" s="8"/>
      <c r="D13" s="8"/>
      <c r="E13" s="8"/>
      <c r="F13" s="8"/>
      <c r="G13" s="8"/>
      <c r="H13" s="8"/>
      <c r="I13" s="15"/>
      <c r="J13" s="15"/>
      <c r="K13" s="15"/>
      <c r="L13" s="15"/>
      <c r="M13" s="15"/>
      <c r="N13" s="15"/>
      <c r="O13" s="15"/>
      <c r="P13" s="8"/>
    </row>
    <row r="14" spans="1:16" s="2" customFormat="1" ht="19.5">
      <c r="A14" s="8"/>
      <c r="B14" s="8"/>
      <c r="C14" s="8"/>
      <c r="D14" s="8"/>
      <c r="E14" s="8"/>
      <c r="F14" s="8"/>
      <c r="G14" s="8"/>
      <c r="H14" s="8"/>
      <c r="I14" s="15"/>
      <c r="J14" s="15"/>
      <c r="K14" s="30"/>
      <c r="L14" s="292" t="s">
        <v>510</v>
      </c>
      <c r="M14" s="292"/>
      <c r="N14" s="292"/>
      <c r="O14" s="292"/>
      <c r="P14" s="8"/>
    </row>
    <row r="15" spans="1:16" s="2" customFormat="1" ht="19.5">
      <c r="A15" s="8"/>
      <c r="B15" s="8"/>
      <c r="C15" s="8"/>
      <c r="D15" s="8"/>
      <c r="E15" s="8"/>
      <c r="F15" s="8"/>
      <c r="G15" s="8"/>
      <c r="H15" s="8"/>
      <c r="I15" s="15"/>
      <c r="J15" s="15"/>
      <c r="K15" s="15"/>
      <c r="L15" s="15"/>
      <c r="M15" s="15"/>
      <c r="N15" s="15"/>
      <c r="O15" s="15"/>
      <c r="P15" s="8"/>
    </row>
    <row r="16" spans="1:16" s="2" customFormat="1" ht="19.5">
      <c r="A16" s="8"/>
      <c r="B16" s="8"/>
      <c r="C16" s="8" t="s">
        <v>253</v>
      </c>
      <c r="D16" s="8"/>
      <c r="E16" s="8"/>
      <c r="F16" s="8"/>
      <c r="G16" s="8"/>
      <c r="H16" s="8"/>
      <c r="I16" s="15"/>
      <c r="J16" s="15"/>
      <c r="K16" s="15"/>
      <c r="L16" s="15"/>
      <c r="M16" s="15"/>
      <c r="N16" s="15"/>
      <c r="O16" s="15"/>
      <c r="P16" s="8"/>
    </row>
    <row r="17" spans="1:16" s="4" customFormat="1" ht="15.75" customHeight="1">
      <c r="A17" s="16"/>
      <c r="B17" s="16"/>
      <c r="C17" s="16"/>
      <c r="D17" s="16"/>
      <c r="E17" s="16"/>
      <c r="F17" s="16"/>
      <c r="G17" s="285" t="s">
        <v>506</v>
      </c>
      <c r="H17" s="285"/>
      <c r="I17" s="285"/>
      <c r="J17" s="285"/>
      <c r="K17" s="285"/>
      <c r="L17" s="16"/>
      <c r="M17" s="16"/>
      <c r="N17" s="16"/>
      <c r="O17" s="16"/>
      <c r="P17" s="16"/>
    </row>
    <row r="18" spans="1:16" s="4" customFormat="1" ht="78" customHeight="1">
      <c r="A18" s="16"/>
      <c r="B18" s="16"/>
      <c r="C18" s="16"/>
      <c r="D18" s="16"/>
      <c r="E18" s="16"/>
      <c r="F18" s="17"/>
      <c r="G18" s="285"/>
      <c r="H18" s="285"/>
      <c r="I18" s="285"/>
      <c r="J18" s="285"/>
      <c r="K18" s="285"/>
      <c r="L18" s="16"/>
      <c r="M18" s="16"/>
      <c r="N18" s="16"/>
      <c r="O18" s="286" t="s">
        <v>5</v>
      </c>
      <c r="P18" s="16"/>
    </row>
    <row r="19" spans="7:15" ht="15.75" customHeight="1">
      <c r="G19" s="287" t="s">
        <v>509</v>
      </c>
      <c r="H19" s="287"/>
      <c r="I19" s="287"/>
      <c r="J19" s="287"/>
      <c r="K19" s="287"/>
      <c r="O19" s="286"/>
    </row>
    <row r="20" ht="14.25" customHeight="1"/>
    <row r="21" spans="1:16" s="5" customFormat="1" ht="18.75">
      <c r="A21" s="16"/>
      <c r="B21" s="272" t="s">
        <v>6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16"/>
    </row>
    <row r="22" ht="13.5" customHeight="1"/>
    <row r="23" spans="1:15" ht="15.75" customHeight="1">
      <c r="A23" s="273" t="s">
        <v>0</v>
      </c>
      <c r="B23" s="274"/>
      <c r="C23" s="274"/>
      <c r="D23" s="275"/>
      <c r="E23" s="279" t="s">
        <v>1</v>
      </c>
      <c r="F23" s="279" t="s">
        <v>139</v>
      </c>
      <c r="G23" s="279" t="s">
        <v>129</v>
      </c>
      <c r="H23" s="282" t="s">
        <v>326</v>
      </c>
      <c r="I23" s="283"/>
      <c r="J23" s="283"/>
      <c r="K23" s="283"/>
      <c r="L23" s="283"/>
      <c r="M23" s="283"/>
      <c r="N23" s="284"/>
      <c r="O23" s="260" t="s">
        <v>2</v>
      </c>
    </row>
    <row r="24" spans="1:15" ht="17.25" customHeight="1">
      <c r="A24" s="276"/>
      <c r="B24" s="277"/>
      <c r="C24" s="277"/>
      <c r="D24" s="278"/>
      <c r="E24" s="280"/>
      <c r="F24" s="280"/>
      <c r="G24" s="280"/>
      <c r="H24" s="263" t="s">
        <v>141</v>
      </c>
      <c r="I24" s="264"/>
      <c r="J24" s="264"/>
      <c r="K24" s="264"/>
      <c r="L24" s="264"/>
      <c r="M24" s="264"/>
      <c r="N24" s="265"/>
      <c r="O24" s="261"/>
    </row>
    <row r="25" spans="1:15" ht="199.5" customHeight="1">
      <c r="A25" s="276"/>
      <c r="B25" s="277"/>
      <c r="C25" s="277"/>
      <c r="D25" s="278"/>
      <c r="E25" s="281"/>
      <c r="F25" s="281"/>
      <c r="G25" s="281"/>
      <c r="H25" s="20" t="s">
        <v>130</v>
      </c>
      <c r="I25" s="26" t="s">
        <v>126</v>
      </c>
      <c r="J25" s="67" t="s">
        <v>127</v>
      </c>
      <c r="K25" s="27" t="s">
        <v>140</v>
      </c>
      <c r="L25" s="26" t="s">
        <v>138</v>
      </c>
      <c r="M25" s="28" t="s">
        <v>128</v>
      </c>
      <c r="N25" s="26" t="s">
        <v>254</v>
      </c>
      <c r="O25" s="262"/>
    </row>
    <row r="26" spans="1:17" ht="29.25" customHeight="1">
      <c r="A26" s="266" t="s">
        <v>255</v>
      </c>
      <c r="B26" s="267"/>
      <c r="C26" s="267"/>
      <c r="D26" s="268"/>
      <c r="E26" s="19" t="s">
        <v>145</v>
      </c>
      <c r="F26" s="31" t="s">
        <v>7</v>
      </c>
      <c r="G26" s="31" t="s">
        <v>7</v>
      </c>
      <c r="H26" s="68" t="e">
        <f>I26+J26+K26+L26+M26+N26</f>
        <v>#REF!</v>
      </c>
      <c r="I26" s="25">
        <f aca="true" t="shared" si="0" ref="I26:N26">I53-I28-I88</f>
        <v>0</v>
      </c>
      <c r="J26" s="25">
        <f t="shared" si="0"/>
        <v>57674.331160000525</v>
      </c>
      <c r="K26" s="25">
        <f t="shared" si="0"/>
        <v>0</v>
      </c>
      <c r="L26" s="25">
        <f t="shared" si="0"/>
        <v>-9.313225746154785E-10</v>
      </c>
      <c r="M26" s="25" t="e">
        <f t="shared" si="0"/>
        <v>#REF!</v>
      </c>
      <c r="N26" s="25">
        <f t="shared" si="0"/>
        <v>29829.660000000003</v>
      </c>
      <c r="O26" s="25">
        <f>O53-O28</f>
        <v>0</v>
      </c>
      <c r="Q26" s="135" t="e">
        <f>H26+H28-H53</f>
        <v>#REF!</v>
      </c>
    </row>
    <row r="27" spans="1:15" ht="29.25" customHeight="1">
      <c r="A27" s="247" t="s">
        <v>256</v>
      </c>
      <c r="B27" s="247"/>
      <c r="C27" s="247"/>
      <c r="D27" s="247"/>
      <c r="E27" s="19" t="s">
        <v>146</v>
      </c>
      <c r="F27" s="31" t="s">
        <v>7</v>
      </c>
      <c r="G27" s="31" t="s">
        <v>7</v>
      </c>
      <c r="H27" s="68" t="e">
        <f>I27+J27+K27+L27+M27+N27</f>
        <v>#REF!</v>
      </c>
      <c r="I27" s="25">
        <f aca="true" t="shared" si="1" ref="I27:N27">I26+I28-I53+I88-I92</f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25" t="e">
        <f t="shared" si="1"/>
        <v>#REF!</v>
      </c>
      <c r="N27" s="25">
        <f t="shared" si="1"/>
        <v>0</v>
      </c>
      <c r="O27" s="25">
        <f>O28+O26-O53</f>
        <v>0</v>
      </c>
    </row>
    <row r="28" spans="1:15" ht="29.25" customHeight="1">
      <c r="A28" s="269" t="s">
        <v>268</v>
      </c>
      <c r="B28" s="270"/>
      <c r="C28" s="270"/>
      <c r="D28" s="271"/>
      <c r="E28" s="70" t="s">
        <v>269</v>
      </c>
      <c r="F28" s="70"/>
      <c r="G28" s="70" t="s">
        <v>118</v>
      </c>
      <c r="H28" s="68">
        <f>I28+J28+K28+L28+M28+N28</f>
        <v>67128612.77000001</v>
      </c>
      <c r="I28" s="68">
        <f>I31</f>
        <v>44695387</v>
      </c>
      <c r="J28" s="68">
        <f>J31</f>
        <v>5714092</v>
      </c>
      <c r="K28" s="68">
        <f>K44+K46</f>
        <v>10280903.67</v>
      </c>
      <c r="L28" s="69">
        <f>L44+L46</f>
        <v>5086172.390000001</v>
      </c>
      <c r="M28" s="68">
        <f>M31+M29+M49+M36</f>
        <v>1278307.71</v>
      </c>
      <c r="N28" s="68">
        <f>N29+N33+N34+N35+N36+N37+N38</f>
        <v>73750</v>
      </c>
      <c r="O28" s="68">
        <v>0</v>
      </c>
    </row>
    <row r="29" spans="1:15" ht="29.25" customHeight="1">
      <c r="A29" s="257" t="s">
        <v>270</v>
      </c>
      <c r="B29" s="258"/>
      <c r="C29" s="258"/>
      <c r="D29" s="259"/>
      <c r="E29" s="31" t="s">
        <v>272</v>
      </c>
      <c r="F29" s="31"/>
      <c r="G29" s="31" t="s">
        <v>271</v>
      </c>
      <c r="H29" s="68">
        <f>I29+J29+K29+L29+M29+N29+O29</f>
        <v>725944.03</v>
      </c>
      <c r="I29" s="32"/>
      <c r="J29" s="32"/>
      <c r="K29" s="32"/>
      <c r="L29" s="64"/>
      <c r="M29" s="32">
        <f>M30</f>
        <v>725944.03</v>
      </c>
      <c r="N29" s="32"/>
      <c r="O29" s="35"/>
    </row>
    <row r="30" spans="1:15" ht="29.25" customHeight="1">
      <c r="A30" s="257" t="s">
        <v>8</v>
      </c>
      <c r="B30" s="258"/>
      <c r="C30" s="258"/>
      <c r="D30" s="259"/>
      <c r="E30" s="31" t="s">
        <v>273</v>
      </c>
      <c r="F30" s="31"/>
      <c r="G30" s="31" t="s">
        <v>271</v>
      </c>
      <c r="H30" s="68">
        <f>M30</f>
        <v>725944.03</v>
      </c>
      <c r="I30" s="32"/>
      <c r="J30" s="32"/>
      <c r="K30" s="32"/>
      <c r="L30" s="64"/>
      <c r="M30" s="32">
        <f>153699.9+20606.06+20606.61+24000+19710.15+26666.67+18550.73+19047.62+265236+157820.29</f>
        <v>725944.03</v>
      </c>
      <c r="N30" s="32"/>
      <c r="O30" s="35"/>
    </row>
    <row r="31" spans="1:17" s="34" customFormat="1" ht="47.25" customHeight="1">
      <c r="A31" s="251" t="s">
        <v>9</v>
      </c>
      <c r="B31" s="251"/>
      <c r="C31" s="251"/>
      <c r="D31" s="251"/>
      <c r="E31" s="31" t="s">
        <v>10</v>
      </c>
      <c r="F31" s="31" t="s">
        <v>11</v>
      </c>
      <c r="G31" s="35"/>
      <c r="H31" s="68">
        <f>I31+J31+K31+L31+M31+N31+O31</f>
        <v>50949479</v>
      </c>
      <c r="I31" s="32">
        <f>I33</f>
        <v>44695387</v>
      </c>
      <c r="J31" s="32">
        <f>J33</f>
        <v>5714092</v>
      </c>
      <c r="K31" s="32"/>
      <c r="L31" s="64"/>
      <c r="M31" s="32">
        <f>M34+M32</f>
        <v>540000</v>
      </c>
      <c r="N31" s="32"/>
      <c r="O31" s="32"/>
      <c r="P31" s="33"/>
      <c r="Q31" s="33"/>
    </row>
    <row r="32" spans="1:17" s="34" customFormat="1" ht="29.25" customHeight="1">
      <c r="A32" s="251" t="s">
        <v>469</v>
      </c>
      <c r="B32" s="251"/>
      <c r="C32" s="251"/>
      <c r="D32" s="251"/>
      <c r="E32" s="31" t="s">
        <v>10</v>
      </c>
      <c r="F32" s="31" t="s">
        <v>11</v>
      </c>
      <c r="G32" s="35">
        <v>135</v>
      </c>
      <c r="H32" s="68">
        <f>I32+J32+K32+L32+M32+N32+O32</f>
        <v>61451.82</v>
      </c>
      <c r="I32" s="32">
        <f>I34</f>
        <v>0</v>
      </c>
      <c r="J32" s="32">
        <f>J34</f>
        <v>0</v>
      </c>
      <c r="K32" s="32"/>
      <c r="L32" s="64"/>
      <c r="M32" s="32">
        <f>30835.02+23126.24+7490.56</f>
        <v>61451.82</v>
      </c>
      <c r="N32" s="32"/>
      <c r="O32" s="32"/>
      <c r="P32" s="33"/>
      <c r="Q32" s="33"/>
    </row>
    <row r="33" spans="1:16" s="34" customFormat="1" ht="96.75" customHeight="1">
      <c r="A33" s="251" t="s">
        <v>12</v>
      </c>
      <c r="B33" s="251"/>
      <c r="C33" s="251"/>
      <c r="D33" s="251"/>
      <c r="E33" s="31" t="s">
        <v>13</v>
      </c>
      <c r="F33" s="31" t="s">
        <v>11</v>
      </c>
      <c r="G33" s="35">
        <v>131</v>
      </c>
      <c r="H33" s="68">
        <f>I33+J33+K33+L33+M33+N33</f>
        <v>50409479</v>
      </c>
      <c r="I33" s="32">
        <f>42413400+2281987</f>
        <v>44695387</v>
      </c>
      <c r="J33" s="32">
        <f>5235200+50892+100000+100000+19000+109000+100000</f>
        <v>5714092</v>
      </c>
      <c r="K33" s="32"/>
      <c r="L33" s="37"/>
      <c r="M33" s="32"/>
      <c r="N33" s="32"/>
      <c r="O33" s="32"/>
      <c r="P33" s="33"/>
    </row>
    <row r="34" spans="1:16" s="34" customFormat="1" ht="83.25" customHeight="1">
      <c r="A34" s="251" t="s">
        <v>15</v>
      </c>
      <c r="B34" s="251"/>
      <c r="C34" s="251"/>
      <c r="D34" s="251"/>
      <c r="E34" s="31" t="s">
        <v>14</v>
      </c>
      <c r="F34" s="31" t="s">
        <v>11</v>
      </c>
      <c r="G34" s="35">
        <v>131</v>
      </c>
      <c r="H34" s="68">
        <f>I34+J34+K34+L34+M34+N34</f>
        <v>478548.18</v>
      </c>
      <c r="I34" s="32"/>
      <c r="J34" s="32"/>
      <c r="K34" s="32"/>
      <c r="L34" s="37"/>
      <c r="M34" s="32">
        <f>M35</f>
        <v>478548.18</v>
      </c>
      <c r="N34" s="32"/>
      <c r="O34" s="32"/>
      <c r="P34" s="33"/>
    </row>
    <row r="35" spans="1:16" s="34" customFormat="1" ht="18.75">
      <c r="A35" s="252" t="s">
        <v>261</v>
      </c>
      <c r="B35" s="252"/>
      <c r="C35" s="252"/>
      <c r="D35" s="252"/>
      <c r="E35" s="31" t="s">
        <v>259</v>
      </c>
      <c r="F35" s="31" t="s">
        <v>11</v>
      </c>
      <c r="G35" s="35">
        <v>131</v>
      </c>
      <c r="H35" s="68">
        <f aca="true" t="shared" si="2" ref="H35:H93">I35+J35+K35+L35+M35+N35</f>
        <v>478548.18</v>
      </c>
      <c r="I35" s="32"/>
      <c r="J35" s="32"/>
      <c r="K35" s="32"/>
      <c r="L35" s="37"/>
      <c r="M35" s="32">
        <f>540000-M32</f>
        <v>478548.18</v>
      </c>
      <c r="N35" s="32"/>
      <c r="O35" s="32"/>
      <c r="P35" s="33"/>
    </row>
    <row r="36" spans="1:16" s="34" customFormat="1" ht="41.25" customHeight="1">
      <c r="A36" s="251" t="s">
        <v>16</v>
      </c>
      <c r="B36" s="251"/>
      <c r="C36" s="251"/>
      <c r="D36" s="251"/>
      <c r="E36" s="31" t="s">
        <v>17</v>
      </c>
      <c r="F36" s="31" t="s">
        <v>18</v>
      </c>
      <c r="G36" s="35">
        <v>141</v>
      </c>
      <c r="H36" s="68">
        <f t="shared" si="2"/>
        <v>0</v>
      </c>
      <c r="I36" s="32"/>
      <c r="J36" s="32"/>
      <c r="K36" s="32"/>
      <c r="L36" s="37"/>
      <c r="M36" s="32"/>
      <c r="N36" s="32"/>
      <c r="O36" s="32"/>
      <c r="P36" s="33"/>
    </row>
    <row r="37" spans="1:16" s="34" customFormat="1" ht="22.5" customHeight="1">
      <c r="A37" s="252" t="s">
        <v>8</v>
      </c>
      <c r="B37" s="252"/>
      <c r="C37" s="252"/>
      <c r="D37" s="252"/>
      <c r="E37" s="31" t="s">
        <v>19</v>
      </c>
      <c r="F37" s="31" t="s">
        <v>18</v>
      </c>
      <c r="G37" s="35"/>
      <c r="H37" s="68">
        <f t="shared" si="2"/>
        <v>0</v>
      </c>
      <c r="I37" s="32"/>
      <c r="J37" s="65"/>
      <c r="K37" s="65"/>
      <c r="L37" s="37"/>
      <c r="M37" s="64"/>
      <c r="N37" s="65"/>
      <c r="O37" s="32"/>
      <c r="P37" s="33"/>
    </row>
    <row r="38" spans="1:16" s="36" customFormat="1" ht="27" customHeight="1">
      <c r="A38" s="251" t="s">
        <v>20</v>
      </c>
      <c r="B38" s="251"/>
      <c r="C38" s="251"/>
      <c r="D38" s="251"/>
      <c r="E38" s="31" t="s">
        <v>21</v>
      </c>
      <c r="F38" s="31" t="s">
        <v>22</v>
      </c>
      <c r="G38" s="35">
        <v>155</v>
      </c>
      <c r="H38" s="68">
        <f>I38+J38+K38+L38+M38+N38</f>
        <v>73750</v>
      </c>
      <c r="I38" s="32"/>
      <c r="J38" s="32"/>
      <c r="K38" s="32"/>
      <c r="L38" s="37"/>
      <c r="M38" s="32"/>
      <c r="N38" s="32">
        <f>N40+N41</f>
        <v>73750</v>
      </c>
      <c r="O38" s="32"/>
      <c r="P38" s="33"/>
    </row>
    <row r="39" spans="1:16" s="36" customFormat="1" ht="22.5" customHeight="1">
      <c r="A39" s="252" t="s">
        <v>8</v>
      </c>
      <c r="B39" s="252"/>
      <c r="C39" s="252"/>
      <c r="D39" s="252"/>
      <c r="E39" s="31"/>
      <c r="F39" s="31"/>
      <c r="G39" s="35"/>
      <c r="H39" s="68">
        <f t="shared" si="2"/>
        <v>0</v>
      </c>
      <c r="I39" s="32"/>
      <c r="J39" s="65"/>
      <c r="K39" s="65"/>
      <c r="L39" s="37"/>
      <c r="M39" s="65"/>
      <c r="N39" s="64"/>
      <c r="O39" s="32"/>
      <c r="P39" s="33"/>
    </row>
    <row r="40" spans="1:16" s="36" customFormat="1" ht="24.75" customHeight="1">
      <c r="A40" s="252" t="s">
        <v>254</v>
      </c>
      <c r="B40" s="252"/>
      <c r="C40" s="252"/>
      <c r="D40" s="252"/>
      <c r="E40" s="31" t="s">
        <v>257</v>
      </c>
      <c r="F40" s="31" t="s">
        <v>22</v>
      </c>
      <c r="G40" s="35">
        <v>155</v>
      </c>
      <c r="H40" s="68">
        <f>I40+J40+K40+L40+M40+N40</f>
        <v>73750</v>
      </c>
      <c r="I40" s="65"/>
      <c r="J40" s="65"/>
      <c r="K40" s="65"/>
      <c r="L40" s="37"/>
      <c r="M40" s="64"/>
      <c r="N40" s="64">
        <f>50000+8750+7500+7500</f>
        <v>73750</v>
      </c>
      <c r="O40" s="65"/>
      <c r="P40" s="33"/>
    </row>
    <row r="41" spans="1:16" s="36" customFormat="1" ht="24.75" customHeight="1">
      <c r="A41" s="252" t="s">
        <v>292</v>
      </c>
      <c r="B41" s="252"/>
      <c r="C41" s="252"/>
      <c r="D41" s="252"/>
      <c r="E41" s="31" t="s">
        <v>293</v>
      </c>
      <c r="F41" s="31" t="s">
        <v>22</v>
      </c>
      <c r="G41" s="35">
        <v>155</v>
      </c>
      <c r="H41" s="68">
        <f>I41+J41+K41+L41+M41+N41</f>
        <v>0</v>
      </c>
      <c r="I41" s="65"/>
      <c r="J41" s="65"/>
      <c r="K41" s="65"/>
      <c r="L41" s="37"/>
      <c r="M41" s="64"/>
      <c r="N41" s="64"/>
      <c r="O41" s="65"/>
      <c r="P41" s="33"/>
    </row>
    <row r="42" spans="1:16" s="36" customFormat="1" ht="21" customHeight="1">
      <c r="A42" s="251" t="s">
        <v>23</v>
      </c>
      <c r="B42" s="251"/>
      <c r="C42" s="251"/>
      <c r="D42" s="251"/>
      <c r="E42" s="31" t="s">
        <v>24</v>
      </c>
      <c r="F42" s="31" t="s">
        <v>25</v>
      </c>
      <c r="G42" s="35"/>
      <c r="H42" s="68">
        <f t="shared" si="2"/>
        <v>15367076.06</v>
      </c>
      <c r="I42" s="32"/>
      <c r="J42" s="32"/>
      <c r="K42" s="32">
        <f>K44+K46</f>
        <v>10280903.67</v>
      </c>
      <c r="L42" s="64">
        <f>L44+L46</f>
        <v>5086172.390000001</v>
      </c>
      <c r="M42" s="64"/>
      <c r="N42" s="32"/>
      <c r="O42" s="32"/>
      <c r="P42" s="33"/>
    </row>
    <row r="43" spans="1:16" s="36" customFormat="1" ht="22.5" customHeight="1">
      <c r="A43" s="252" t="s">
        <v>8</v>
      </c>
      <c r="B43" s="252"/>
      <c r="C43" s="252"/>
      <c r="D43" s="252"/>
      <c r="E43" s="31" t="s">
        <v>27</v>
      </c>
      <c r="F43" s="31" t="s">
        <v>25</v>
      </c>
      <c r="G43" s="35"/>
      <c r="H43" s="68">
        <f t="shared" si="2"/>
        <v>0</v>
      </c>
      <c r="I43" s="32"/>
      <c r="J43" s="65"/>
      <c r="K43" s="64"/>
      <c r="L43" s="64"/>
      <c r="M43" s="64"/>
      <c r="N43" s="65"/>
      <c r="O43" s="32"/>
      <c r="P43" s="33"/>
    </row>
    <row r="44" spans="1:16" s="36" customFormat="1" ht="25.5" customHeight="1">
      <c r="A44" s="252" t="s">
        <v>26</v>
      </c>
      <c r="B44" s="252"/>
      <c r="C44" s="252"/>
      <c r="D44" s="252"/>
      <c r="E44" s="31" t="s">
        <v>29</v>
      </c>
      <c r="F44" s="31" t="s">
        <v>25</v>
      </c>
      <c r="G44" s="35">
        <v>152</v>
      </c>
      <c r="H44" s="68">
        <f>I44+J44+K44+L44+M44+N44</f>
        <v>15367076.06</v>
      </c>
      <c r="I44" s="65"/>
      <c r="J44" s="65"/>
      <c r="K44" s="155">
        <f>10043350.66-10763+236100+276300+500000-21520+6050+31900-3077.46+3640+130800-20311.2-891565.33</f>
        <v>10280903.67</v>
      </c>
      <c r="L44" s="64">
        <f>4774883.98+50107.2-50000+26400+273500+435300-397700+48607.68+4950+30000-2426.8-56934.67+49485-100000</f>
        <v>5086172.390000001</v>
      </c>
      <c r="M44" s="64"/>
      <c r="N44" s="65"/>
      <c r="O44" s="65"/>
      <c r="P44" s="33"/>
    </row>
    <row r="45" spans="1:16" s="36" customFormat="1" ht="25.5" customHeight="1" hidden="1">
      <c r="A45" s="254" t="s">
        <v>258</v>
      </c>
      <c r="B45" s="255"/>
      <c r="C45" s="255"/>
      <c r="D45" s="256"/>
      <c r="E45" s="31"/>
      <c r="F45" s="31" t="s">
        <v>25</v>
      </c>
      <c r="G45" s="35"/>
      <c r="H45" s="68">
        <f>I45+J45+K45+L45+M45+N45</f>
        <v>0</v>
      </c>
      <c r="I45" s="65"/>
      <c r="J45" s="65"/>
      <c r="K45" s="155"/>
      <c r="L45" s="64"/>
      <c r="M45" s="64"/>
      <c r="N45" s="64"/>
      <c r="O45" s="65"/>
      <c r="P45" s="33"/>
    </row>
    <row r="46" spans="1:16" s="36" customFormat="1" ht="27.75" customHeight="1">
      <c r="A46" s="251" t="s">
        <v>28</v>
      </c>
      <c r="B46" s="251"/>
      <c r="C46" s="251"/>
      <c r="D46" s="251"/>
      <c r="E46" s="31" t="s">
        <v>321</v>
      </c>
      <c r="F46" s="31" t="s">
        <v>25</v>
      </c>
      <c r="G46" s="35">
        <v>162</v>
      </c>
      <c r="H46" s="68">
        <f>I46+J46+K46+L46+M46+N46</f>
        <v>0</v>
      </c>
      <c r="I46" s="32"/>
      <c r="J46" s="32"/>
      <c r="K46" s="32">
        <f>2323300-2323300</f>
        <v>0</v>
      </c>
      <c r="L46" s="64">
        <f>148400-148400</f>
        <v>0</v>
      </c>
      <c r="M46" s="32"/>
      <c r="N46" s="32"/>
      <c r="O46" s="32"/>
      <c r="P46" s="33"/>
    </row>
    <row r="47" spans="1:16" s="36" customFormat="1" ht="23.25" customHeight="1">
      <c r="A47" s="251" t="s">
        <v>30</v>
      </c>
      <c r="B47" s="251"/>
      <c r="C47" s="251"/>
      <c r="D47" s="251"/>
      <c r="E47" s="31" t="s">
        <v>31</v>
      </c>
      <c r="F47" s="31"/>
      <c r="G47" s="35"/>
      <c r="H47" s="68">
        <f t="shared" si="2"/>
        <v>12363.68</v>
      </c>
      <c r="I47" s="32"/>
      <c r="J47" s="32"/>
      <c r="K47" s="32"/>
      <c r="L47" s="37"/>
      <c r="M47" s="32">
        <f>M48+M49</f>
        <v>12363.68</v>
      </c>
      <c r="N47" s="32"/>
      <c r="O47" s="32"/>
      <c r="P47" s="33"/>
    </row>
    <row r="48" spans="1:16" s="36" customFormat="1" ht="23.25" customHeight="1">
      <c r="A48" s="252" t="s">
        <v>8</v>
      </c>
      <c r="B48" s="252"/>
      <c r="C48" s="252"/>
      <c r="D48" s="252"/>
      <c r="E48" s="31" t="s">
        <v>319</v>
      </c>
      <c r="F48" s="31"/>
      <c r="G48" s="35"/>
      <c r="H48" s="68">
        <f t="shared" si="2"/>
        <v>0</v>
      </c>
      <c r="I48" s="32"/>
      <c r="J48" s="65"/>
      <c r="K48" s="65"/>
      <c r="L48" s="37"/>
      <c r="M48" s="65"/>
      <c r="N48" s="65"/>
      <c r="O48" s="32"/>
      <c r="P48" s="33"/>
    </row>
    <row r="49" spans="1:16" s="36" customFormat="1" ht="19.5">
      <c r="A49" s="252" t="s">
        <v>290</v>
      </c>
      <c r="B49" s="252"/>
      <c r="C49" s="252"/>
      <c r="D49" s="252"/>
      <c r="E49" s="31" t="s">
        <v>320</v>
      </c>
      <c r="F49" s="31"/>
      <c r="G49" s="37">
        <v>446</v>
      </c>
      <c r="H49" s="68">
        <f t="shared" si="2"/>
        <v>12363.68</v>
      </c>
      <c r="I49" s="65"/>
      <c r="J49" s="65"/>
      <c r="K49" s="65"/>
      <c r="L49" s="37"/>
      <c r="M49" s="64">
        <f>12363.68</f>
        <v>12363.68</v>
      </c>
      <c r="N49" s="65"/>
      <c r="O49" s="65"/>
      <c r="P49" s="33"/>
    </row>
    <row r="50" spans="1:16" s="36" customFormat="1" ht="22.5" customHeight="1">
      <c r="A50" s="251" t="s">
        <v>131</v>
      </c>
      <c r="B50" s="251"/>
      <c r="C50" s="251"/>
      <c r="D50" s="251"/>
      <c r="E50" s="31" t="s">
        <v>32</v>
      </c>
      <c r="F50" s="31" t="s">
        <v>7</v>
      </c>
      <c r="G50" s="35"/>
      <c r="H50" s="68">
        <f t="shared" si="2"/>
        <v>0</v>
      </c>
      <c r="I50" s="32"/>
      <c r="J50" s="32"/>
      <c r="K50" s="32"/>
      <c r="L50" s="37"/>
      <c r="M50" s="32"/>
      <c r="N50" s="32"/>
      <c r="O50" s="32"/>
      <c r="P50" s="33"/>
    </row>
    <row r="51" spans="1:16" s="36" customFormat="1" ht="58.5" customHeight="1">
      <c r="A51" s="251" t="s">
        <v>33</v>
      </c>
      <c r="B51" s="251"/>
      <c r="C51" s="251"/>
      <c r="D51" s="251"/>
      <c r="E51" s="31" t="s">
        <v>34</v>
      </c>
      <c r="F51" s="31" t="s">
        <v>35</v>
      </c>
      <c r="G51" s="35"/>
      <c r="H51" s="68">
        <f t="shared" si="2"/>
        <v>0</v>
      </c>
      <c r="I51" s="32"/>
      <c r="J51" s="32"/>
      <c r="K51" s="32"/>
      <c r="L51" s="37"/>
      <c r="M51" s="32"/>
      <c r="N51" s="32"/>
      <c r="O51" s="37" t="s">
        <v>7</v>
      </c>
      <c r="P51" s="33"/>
    </row>
    <row r="52" spans="1:16" s="36" customFormat="1" ht="19.5" customHeight="1">
      <c r="A52" s="251"/>
      <c r="B52" s="251"/>
      <c r="C52" s="251"/>
      <c r="D52" s="251"/>
      <c r="E52" s="31"/>
      <c r="F52" s="31"/>
      <c r="G52" s="35"/>
      <c r="H52" s="68">
        <f t="shared" si="2"/>
        <v>0</v>
      </c>
      <c r="I52" s="32"/>
      <c r="J52" s="32"/>
      <c r="K52" s="32"/>
      <c r="L52" s="37"/>
      <c r="M52" s="32"/>
      <c r="N52" s="32"/>
      <c r="O52" s="37"/>
      <c r="P52" s="33"/>
    </row>
    <row r="53" spans="1:16" s="36" customFormat="1" ht="24" customHeight="1">
      <c r="A53" s="253" t="s">
        <v>36</v>
      </c>
      <c r="B53" s="253"/>
      <c r="C53" s="253"/>
      <c r="D53" s="253"/>
      <c r="E53" s="72" t="s">
        <v>37</v>
      </c>
      <c r="F53" s="72" t="s">
        <v>7</v>
      </c>
      <c r="G53" s="71"/>
      <c r="H53" s="68" t="e">
        <f>I53+J53+K53+L53+M53+N53</f>
        <v>#REF!</v>
      </c>
      <c r="I53" s="68">
        <f>I54+I78</f>
        <v>44695387</v>
      </c>
      <c r="J53" s="68">
        <f>J54+J78+J68</f>
        <v>5771766.3311600005</v>
      </c>
      <c r="K53" s="68">
        <f>K54+K78+K68+K62</f>
        <v>10280903.67</v>
      </c>
      <c r="L53" s="68">
        <f>L54+L78+L68+L62</f>
        <v>5086172.39</v>
      </c>
      <c r="M53" s="68" t="e">
        <f>M54+M78+M68</f>
        <v>#REF!</v>
      </c>
      <c r="N53" s="68">
        <f>N54+N78+N68</f>
        <v>103579.66</v>
      </c>
      <c r="O53" s="73"/>
      <c r="P53" s="33"/>
    </row>
    <row r="54" spans="1:16" s="36" customFormat="1" ht="45.75" customHeight="1">
      <c r="A54" s="251" t="s">
        <v>38</v>
      </c>
      <c r="B54" s="251"/>
      <c r="C54" s="251"/>
      <c r="D54" s="251"/>
      <c r="E54" s="31" t="s">
        <v>39</v>
      </c>
      <c r="F54" s="31" t="s">
        <v>7</v>
      </c>
      <c r="G54" s="38"/>
      <c r="H54" s="68">
        <f>I54+J54+K54+L54+M54+N54</f>
        <v>46013421.050000004</v>
      </c>
      <c r="I54" s="32">
        <f>I55+I56+I58</f>
        <v>41389271.6</v>
      </c>
      <c r="J54" s="32">
        <f>J55+J58</f>
        <v>767050</v>
      </c>
      <c r="K54" s="32">
        <f>K55+K58+K56+K57</f>
        <v>3530075.92</v>
      </c>
      <c r="L54" s="32">
        <f>L55+L58+L56</f>
        <v>0</v>
      </c>
      <c r="M54" s="32">
        <f>M55+M58+M56</f>
        <v>255727.24</v>
      </c>
      <c r="N54" s="32">
        <f>N55+N58</f>
        <v>71296.29000000001</v>
      </c>
      <c r="O54" s="37" t="s">
        <v>7</v>
      </c>
      <c r="P54" s="33"/>
    </row>
    <row r="55" spans="1:16" s="36" customFormat="1" ht="41.25" customHeight="1">
      <c r="A55" s="251" t="s">
        <v>40</v>
      </c>
      <c r="B55" s="251"/>
      <c r="C55" s="251"/>
      <c r="D55" s="251"/>
      <c r="E55" s="31" t="s">
        <v>41</v>
      </c>
      <c r="F55" s="31" t="s">
        <v>42</v>
      </c>
      <c r="G55" s="78">
        <v>211.266</v>
      </c>
      <c r="H55" s="68">
        <f>I55+J55+N55</f>
        <v>32432885.73</v>
      </c>
      <c r="I55" s="32">
        <f>J107</f>
        <v>31788994.990000002</v>
      </c>
      <c r="J55" s="32">
        <f>J192</f>
        <v>589131.56</v>
      </c>
      <c r="K55" s="32">
        <f>J641+J655</f>
        <v>2608311.12</v>
      </c>
      <c r="L55" s="64"/>
      <c r="M55" s="32">
        <f>J593</f>
        <v>196411.09</v>
      </c>
      <c r="N55" s="32">
        <f>J553</f>
        <v>54759.18</v>
      </c>
      <c r="O55" s="37" t="s">
        <v>7</v>
      </c>
      <c r="P55" s="33"/>
    </row>
    <row r="56" spans="1:16" s="36" customFormat="1" ht="40.5" customHeight="1">
      <c r="A56" s="251" t="s">
        <v>43</v>
      </c>
      <c r="B56" s="251"/>
      <c r="C56" s="251"/>
      <c r="D56" s="251"/>
      <c r="E56" s="31" t="s">
        <v>44</v>
      </c>
      <c r="F56" s="31" t="s">
        <v>45</v>
      </c>
      <c r="G56" s="35" t="s">
        <v>287</v>
      </c>
      <c r="H56" s="68">
        <f t="shared" si="2"/>
        <v>0</v>
      </c>
      <c r="I56" s="32">
        <f>J128+J121</f>
        <v>0</v>
      </c>
      <c r="J56" s="32"/>
      <c r="K56" s="32"/>
      <c r="L56" s="64"/>
      <c r="M56" s="32"/>
      <c r="N56" s="32"/>
      <c r="O56" s="37" t="s">
        <v>7</v>
      </c>
      <c r="P56" s="33"/>
    </row>
    <row r="57" spans="1:16" s="36" customFormat="1" ht="46.5" customHeight="1">
      <c r="A57" s="251" t="s">
        <v>46</v>
      </c>
      <c r="B57" s="251"/>
      <c r="C57" s="251"/>
      <c r="D57" s="251"/>
      <c r="E57" s="31" t="s">
        <v>47</v>
      </c>
      <c r="F57" s="31" t="s">
        <v>48</v>
      </c>
      <c r="G57" s="35"/>
      <c r="H57" s="68">
        <f t="shared" si="2"/>
        <v>102960</v>
      </c>
      <c r="I57" s="32"/>
      <c r="J57" s="32"/>
      <c r="K57" s="32">
        <f>J668</f>
        <v>102960</v>
      </c>
      <c r="L57" s="37"/>
      <c r="M57" s="32"/>
      <c r="N57" s="32"/>
      <c r="O57" s="37" t="s">
        <v>7</v>
      </c>
      <c r="P57" s="33"/>
    </row>
    <row r="58" spans="1:16" s="36" customFormat="1" ht="67.5" customHeight="1">
      <c r="A58" s="251" t="s">
        <v>49</v>
      </c>
      <c r="B58" s="251"/>
      <c r="C58" s="251"/>
      <c r="D58" s="251"/>
      <c r="E58" s="31" t="s">
        <v>50</v>
      </c>
      <c r="F58" s="31" t="s">
        <v>51</v>
      </c>
      <c r="G58" s="35">
        <v>213</v>
      </c>
      <c r="H58" s="68">
        <f t="shared" si="2"/>
        <v>10672853.110000001</v>
      </c>
      <c r="I58" s="32">
        <f>I114</f>
        <v>9600276.610000001</v>
      </c>
      <c r="J58" s="32">
        <f>I221</f>
        <v>177918.44</v>
      </c>
      <c r="K58" s="32">
        <f>K59+K60</f>
        <v>818804.8</v>
      </c>
      <c r="L58" s="64">
        <f>L59+L60</f>
        <v>0</v>
      </c>
      <c r="M58" s="64">
        <f>M59+M60</f>
        <v>59316.15</v>
      </c>
      <c r="N58" s="32">
        <f>I561</f>
        <v>16537.11</v>
      </c>
      <c r="O58" s="37" t="s">
        <v>7</v>
      </c>
      <c r="P58" s="33"/>
    </row>
    <row r="59" spans="1:16" s="7" customFormat="1" ht="38.25" customHeight="1">
      <c r="A59" s="247" t="s">
        <v>52</v>
      </c>
      <c r="B59" s="247"/>
      <c r="C59" s="247"/>
      <c r="D59" s="247"/>
      <c r="E59" s="19" t="s">
        <v>53</v>
      </c>
      <c r="F59" s="19" t="s">
        <v>51</v>
      </c>
      <c r="G59" s="23">
        <v>213</v>
      </c>
      <c r="H59" s="68">
        <f t="shared" si="2"/>
        <v>863564.14</v>
      </c>
      <c r="I59" s="25"/>
      <c r="J59" s="25"/>
      <c r="K59" s="25">
        <f>I648+I662</f>
        <v>787710.88</v>
      </c>
      <c r="L59" s="66"/>
      <c r="M59" s="25">
        <f>I600</f>
        <v>59316.15</v>
      </c>
      <c r="N59" s="25">
        <f>N58</f>
        <v>16537.11</v>
      </c>
      <c r="O59" s="22" t="s">
        <v>7</v>
      </c>
      <c r="P59" s="8"/>
    </row>
    <row r="60" spans="1:16" s="7" customFormat="1" ht="31.5" customHeight="1">
      <c r="A60" s="247" t="s">
        <v>54</v>
      </c>
      <c r="B60" s="247"/>
      <c r="C60" s="247"/>
      <c r="D60" s="247"/>
      <c r="E60" s="19" t="s">
        <v>55</v>
      </c>
      <c r="F60" s="19" t="s">
        <v>51</v>
      </c>
      <c r="G60" s="23">
        <v>226</v>
      </c>
      <c r="H60" s="68">
        <f t="shared" si="2"/>
        <v>31093.920000000002</v>
      </c>
      <c r="I60" s="25"/>
      <c r="J60" s="25"/>
      <c r="K60" s="25">
        <f>J676</f>
        <v>31093.920000000002</v>
      </c>
      <c r="L60" s="66"/>
      <c r="M60" s="25"/>
      <c r="N60" s="25"/>
      <c r="O60" s="22" t="s">
        <v>7</v>
      </c>
      <c r="P60" s="8"/>
    </row>
    <row r="61" spans="1:16" s="7" customFormat="1" ht="66" customHeight="1">
      <c r="A61" s="247" t="s">
        <v>56</v>
      </c>
      <c r="B61" s="247"/>
      <c r="C61" s="247"/>
      <c r="D61" s="247"/>
      <c r="E61" s="19" t="s">
        <v>57</v>
      </c>
      <c r="F61" s="19" t="s">
        <v>58</v>
      </c>
      <c r="G61" s="23"/>
      <c r="H61" s="68">
        <f t="shared" si="2"/>
        <v>0</v>
      </c>
      <c r="I61" s="25"/>
      <c r="J61" s="25"/>
      <c r="K61" s="25"/>
      <c r="L61" s="22"/>
      <c r="M61" s="25"/>
      <c r="N61" s="25"/>
      <c r="O61" s="22" t="s">
        <v>7</v>
      </c>
      <c r="P61" s="8"/>
    </row>
    <row r="62" spans="1:16" s="7" customFormat="1" ht="32.25" customHeight="1">
      <c r="A62" s="247" t="s">
        <v>59</v>
      </c>
      <c r="B62" s="247"/>
      <c r="C62" s="247"/>
      <c r="D62" s="247"/>
      <c r="E62" s="19" t="s">
        <v>60</v>
      </c>
      <c r="F62" s="19" t="s">
        <v>61</v>
      </c>
      <c r="G62" s="23"/>
      <c r="H62" s="68">
        <f t="shared" si="2"/>
        <v>260180.3</v>
      </c>
      <c r="I62" s="25"/>
      <c r="J62" s="25"/>
      <c r="K62" s="25">
        <f>K63</f>
        <v>111336.67</v>
      </c>
      <c r="L62" s="66">
        <f>L64</f>
        <v>148843.63</v>
      </c>
      <c r="M62" s="25"/>
      <c r="N62" s="25"/>
      <c r="O62" s="22" t="s">
        <v>7</v>
      </c>
      <c r="P62" s="8"/>
    </row>
    <row r="63" spans="1:16" s="7" customFormat="1" ht="80.25" customHeight="1">
      <c r="A63" s="247" t="s">
        <v>62</v>
      </c>
      <c r="B63" s="247"/>
      <c r="C63" s="247"/>
      <c r="D63" s="247"/>
      <c r="E63" s="19" t="s">
        <v>63</v>
      </c>
      <c r="F63" s="19" t="s">
        <v>64</v>
      </c>
      <c r="G63" s="23"/>
      <c r="H63" s="68">
        <f t="shared" si="2"/>
        <v>260180.3</v>
      </c>
      <c r="I63" s="25"/>
      <c r="J63" s="25"/>
      <c r="K63" s="25">
        <f>K64</f>
        <v>111336.67</v>
      </c>
      <c r="L63" s="66">
        <f>L64</f>
        <v>148843.63</v>
      </c>
      <c r="M63" s="25"/>
      <c r="N63" s="25"/>
      <c r="O63" s="22" t="s">
        <v>7</v>
      </c>
      <c r="P63" s="8"/>
    </row>
    <row r="64" spans="1:16" s="7" customFormat="1" ht="57.75" customHeight="1">
      <c r="A64" s="247" t="s">
        <v>65</v>
      </c>
      <c r="B64" s="247"/>
      <c r="C64" s="247"/>
      <c r="D64" s="247"/>
      <c r="E64" s="19" t="s">
        <v>66</v>
      </c>
      <c r="F64" s="19" t="s">
        <v>67</v>
      </c>
      <c r="G64" s="23"/>
      <c r="H64" s="68">
        <f t="shared" si="2"/>
        <v>260180.3</v>
      </c>
      <c r="I64" s="25"/>
      <c r="J64" s="25"/>
      <c r="K64" s="25">
        <f>H758</f>
        <v>111336.67</v>
      </c>
      <c r="L64" s="66">
        <f>H864</f>
        <v>148843.63</v>
      </c>
      <c r="M64" s="25"/>
      <c r="N64" s="25"/>
      <c r="O64" s="22" t="s">
        <v>7</v>
      </c>
      <c r="P64" s="8"/>
    </row>
    <row r="65" spans="1:16" s="7" customFormat="1" ht="69.75" customHeight="1">
      <c r="A65" s="247" t="s">
        <v>68</v>
      </c>
      <c r="B65" s="247"/>
      <c r="C65" s="247"/>
      <c r="D65" s="247"/>
      <c r="E65" s="19" t="s">
        <v>69</v>
      </c>
      <c r="F65" s="19" t="s">
        <v>70</v>
      </c>
      <c r="G65" s="23"/>
      <c r="H65" s="68">
        <f t="shared" si="2"/>
        <v>0</v>
      </c>
      <c r="I65" s="25"/>
      <c r="J65" s="25"/>
      <c r="K65" s="25"/>
      <c r="L65" s="22"/>
      <c r="M65" s="25"/>
      <c r="N65" s="25"/>
      <c r="O65" s="22" t="s">
        <v>7</v>
      </c>
      <c r="P65" s="8"/>
    </row>
    <row r="66" spans="1:16" s="7" customFormat="1" ht="89.25" customHeight="1">
      <c r="A66" s="247" t="s">
        <v>71</v>
      </c>
      <c r="B66" s="247"/>
      <c r="C66" s="247"/>
      <c r="D66" s="247"/>
      <c r="E66" s="19" t="s">
        <v>72</v>
      </c>
      <c r="F66" s="19" t="s">
        <v>73</v>
      </c>
      <c r="G66" s="23"/>
      <c r="H66" s="68">
        <f t="shared" si="2"/>
        <v>0</v>
      </c>
      <c r="I66" s="25"/>
      <c r="J66" s="25"/>
      <c r="K66" s="25"/>
      <c r="L66" s="22"/>
      <c r="M66" s="25"/>
      <c r="N66" s="25"/>
      <c r="O66" s="22" t="s">
        <v>7</v>
      </c>
      <c r="P66" s="8"/>
    </row>
    <row r="67" spans="1:16" s="7" customFormat="1" ht="32.25" customHeight="1">
      <c r="A67" s="247" t="s">
        <v>309</v>
      </c>
      <c r="B67" s="247"/>
      <c r="C67" s="247"/>
      <c r="D67" s="247"/>
      <c r="E67" s="19" t="s">
        <v>310</v>
      </c>
      <c r="F67" s="19" t="s">
        <v>311</v>
      </c>
      <c r="G67" s="23"/>
      <c r="H67" s="68">
        <f>I67+J67+K67+L67+M67+N67</f>
        <v>0</v>
      </c>
      <c r="I67" s="25"/>
      <c r="J67" s="25"/>
      <c r="K67" s="25"/>
      <c r="L67" s="22"/>
      <c r="M67" s="25"/>
      <c r="N67" s="25"/>
      <c r="O67" s="22" t="s">
        <v>7</v>
      </c>
      <c r="P67" s="8"/>
    </row>
    <row r="68" spans="1:16" s="7" customFormat="1" ht="25.5" customHeight="1">
      <c r="A68" s="247" t="s">
        <v>74</v>
      </c>
      <c r="B68" s="247"/>
      <c r="C68" s="247"/>
      <c r="D68" s="247"/>
      <c r="E68" s="19" t="s">
        <v>75</v>
      </c>
      <c r="F68" s="19" t="s">
        <v>76</v>
      </c>
      <c r="G68" s="23"/>
      <c r="H68" s="68">
        <f t="shared" si="2"/>
        <v>451231.7</v>
      </c>
      <c r="I68" s="25"/>
      <c r="J68" s="25">
        <f>J69+J71+J70</f>
        <v>451231.7</v>
      </c>
      <c r="K68" s="25"/>
      <c r="L68" s="22"/>
      <c r="M68" s="25"/>
      <c r="N68" s="25"/>
      <c r="O68" s="22" t="s">
        <v>7</v>
      </c>
      <c r="P68" s="8"/>
    </row>
    <row r="69" spans="1:16" s="7" customFormat="1" ht="41.25" customHeight="1">
      <c r="A69" s="247" t="s">
        <v>77</v>
      </c>
      <c r="B69" s="247"/>
      <c r="C69" s="247"/>
      <c r="D69" s="247"/>
      <c r="E69" s="19" t="s">
        <v>78</v>
      </c>
      <c r="F69" s="19" t="s">
        <v>79</v>
      </c>
      <c r="G69" s="23">
        <v>290</v>
      </c>
      <c r="H69" s="68">
        <f t="shared" si="2"/>
        <v>442463</v>
      </c>
      <c r="I69" s="25"/>
      <c r="J69" s="25">
        <f>J344</f>
        <v>442463</v>
      </c>
      <c r="K69" s="25"/>
      <c r="L69" s="22"/>
      <c r="M69" s="25"/>
      <c r="N69" s="25"/>
      <c r="O69" s="22" t="s">
        <v>7</v>
      </c>
      <c r="P69" s="8"/>
    </row>
    <row r="70" spans="1:16" s="7" customFormat="1" ht="60.75" customHeight="1">
      <c r="A70" s="247" t="s">
        <v>80</v>
      </c>
      <c r="B70" s="247"/>
      <c r="C70" s="247"/>
      <c r="D70" s="247"/>
      <c r="E70" s="19" t="s">
        <v>81</v>
      </c>
      <c r="F70" s="19" t="s">
        <v>82</v>
      </c>
      <c r="G70" s="23">
        <v>290</v>
      </c>
      <c r="H70" s="68">
        <f t="shared" si="2"/>
        <v>0</v>
      </c>
      <c r="I70" s="25"/>
      <c r="J70" s="25"/>
      <c r="K70" s="25"/>
      <c r="L70" s="22"/>
      <c r="M70" s="25"/>
      <c r="N70" s="25"/>
      <c r="O70" s="22" t="s">
        <v>7</v>
      </c>
      <c r="P70" s="8"/>
    </row>
    <row r="71" spans="1:16" s="7" customFormat="1" ht="48" customHeight="1">
      <c r="A71" s="247" t="s">
        <v>83</v>
      </c>
      <c r="B71" s="247"/>
      <c r="C71" s="247"/>
      <c r="D71" s="247"/>
      <c r="E71" s="19" t="s">
        <v>84</v>
      </c>
      <c r="F71" s="19" t="s">
        <v>85</v>
      </c>
      <c r="G71" s="23">
        <v>290</v>
      </c>
      <c r="H71" s="68">
        <f t="shared" si="2"/>
        <v>8768.7</v>
      </c>
      <c r="I71" s="25"/>
      <c r="J71" s="25">
        <f>J349</f>
        <v>8768.7</v>
      </c>
      <c r="K71" s="25"/>
      <c r="L71" s="22"/>
      <c r="M71" s="25"/>
      <c r="N71" s="25"/>
      <c r="O71" s="22" t="s">
        <v>7</v>
      </c>
      <c r="P71" s="8"/>
    </row>
    <row r="72" spans="1:16" s="7" customFormat="1" ht="44.25" customHeight="1">
      <c r="A72" s="247" t="s">
        <v>86</v>
      </c>
      <c r="B72" s="247"/>
      <c r="C72" s="247"/>
      <c r="D72" s="247"/>
      <c r="E72" s="19" t="s">
        <v>87</v>
      </c>
      <c r="F72" s="19" t="s">
        <v>7</v>
      </c>
      <c r="G72" s="23"/>
      <c r="H72" s="68">
        <f t="shared" si="2"/>
        <v>0</v>
      </c>
      <c r="I72" s="25"/>
      <c r="J72" s="25"/>
      <c r="K72" s="25"/>
      <c r="L72" s="22"/>
      <c r="M72" s="25"/>
      <c r="N72" s="25"/>
      <c r="O72" s="22" t="s">
        <v>7</v>
      </c>
      <c r="P72" s="8"/>
    </row>
    <row r="73" spans="1:16" s="7" customFormat="1" ht="67.5" customHeight="1">
      <c r="A73" s="251" t="s">
        <v>88</v>
      </c>
      <c r="B73" s="251"/>
      <c r="C73" s="251"/>
      <c r="D73" s="251"/>
      <c r="E73" s="31" t="s">
        <v>89</v>
      </c>
      <c r="F73" s="31" t="s">
        <v>312</v>
      </c>
      <c r="G73" s="23"/>
      <c r="H73" s="68">
        <f t="shared" si="2"/>
        <v>0</v>
      </c>
      <c r="I73" s="25"/>
      <c r="J73" s="25"/>
      <c r="K73" s="25"/>
      <c r="L73" s="22"/>
      <c r="M73" s="25"/>
      <c r="N73" s="25"/>
      <c r="O73" s="22" t="s">
        <v>7</v>
      </c>
      <c r="P73" s="8"/>
    </row>
    <row r="74" spans="1:16" s="7" customFormat="1" ht="29.25" customHeight="1">
      <c r="A74" s="251" t="s">
        <v>316</v>
      </c>
      <c r="B74" s="251"/>
      <c r="C74" s="251"/>
      <c r="D74" s="251"/>
      <c r="E74" s="31" t="s">
        <v>317</v>
      </c>
      <c r="F74" s="31" t="s">
        <v>318</v>
      </c>
      <c r="G74" s="100"/>
      <c r="H74" s="68">
        <f t="shared" si="2"/>
        <v>0</v>
      </c>
      <c r="I74" s="101"/>
      <c r="J74" s="101"/>
      <c r="K74" s="101"/>
      <c r="L74" s="21"/>
      <c r="M74" s="101"/>
      <c r="N74" s="101"/>
      <c r="O74" s="22" t="s">
        <v>7</v>
      </c>
      <c r="P74" s="8"/>
    </row>
    <row r="75" spans="1:16" s="7" customFormat="1" ht="67.5" customHeight="1">
      <c r="A75" s="251" t="s">
        <v>313</v>
      </c>
      <c r="B75" s="251"/>
      <c r="C75" s="251"/>
      <c r="D75" s="251"/>
      <c r="E75" s="31" t="s">
        <v>314</v>
      </c>
      <c r="F75" s="31" t="s">
        <v>315</v>
      </c>
      <c r="G75" s="100"/>
      <c r="H75" s="68">
        <f t="shared" si="2"/>
        <v>0</v>
      </c>
      <c r="I75" s="101"/>
      <c r="J75" s="101"/>
      <c r="K75" s="101"/>
      <c r="L75" s="21"/>
      <c r="M75" s="101"/>
      <c r="N75" s="101"/>
      <c r="O75" s="22" t="s">
        <v>7</v>
      </c>
      <c r="P75" s="8"/>
    </row>
    <row r="76" spans="1:16" s="7" customFormat="1" ht="50.25" customHeight="1">
      <c r="A76" s="247" t="s">
        <v>90</v>
      </c>
      <c r="B76" s="247"/>
      <c r="C76" s="247"/>
      <c r="D76" s="247"/>
      <c r="E76" s="19" t="s">
        <v>91</v>
      </c>
      <c r="F76" s="19" t="s">
        <v>7</v>
      </c>
      <c r="G76" s="23"/>
      <c r="H76" s="68">
        <f t="shared" si="2"/>
        <v>0</v>
      </c>
      <c r="I76" s="25"/>
      <c r="J76" s="25"/>
      <c r="K76" s="25"/>
      <c r="L76" s="22"/>
      <c r="M76" s="25"/>
      <c r="N76" s="25"/>
      <c r="O76" s="22" t="s">
        <v>7</v>
      </c>
      <c r="P76" s="8"/>
    </row>
    <row r="77" spans="1:16" s="7" customFormat="1" ht="63" customHeight="1">
      <c r="A77" s="247" t="s">
        <v>92</v>
      </c>
      <c r="B77" s="247"/>
      <c r="C77" s="247"/>
      <c r="D77" s="247"/>
      <c r="E77" s="19" t="s">
        <v>93</v>
      </c>
      <c r="F77" s="19" t="s">
        <v>94</v>
      </c>
      <c r="G77" s="23"/>
      <c r="H77" s="68">
        <f t="shared" si="2"/>
        <v>0</v>
      </c>
      <c r="I77" s="25"/>
      <c r="J77" s="25"/>
      <c r="K77" s="25"/>
      <c r="L77" s="22"/>
      <c r="M77" s="25"/>
      <c r="N77" s="25"/>
      <c r="O77" s="22" t="s">
        <v>7</v>
      </c>
      <c r="P77" s="8"/>
    </row>
    <row r="78" spans="1:16" s="7" customFormat="1" ht="27.75" customHeight="1">
      <c r="A78" s="247" t="s">
        <v>132</v>
      </c>
      <c r="B78" s="247"/>
      <c r="C78" s="247"/>
      <c r="D78" s="247"/>
      <c r="E78" s="19" t="s">
        <v>95</v>
      </c>
      <c r="F78" s="19" t="s">
        <v>7</v>
      </c>
      <c r="G78" s="23"/>
      <c r="H78" s="68" t="e">
        <f>I78+J78+K78+L78+M78+N78</f>
        <v>#REF!</v>
      </c>
      <c r="I78" s="25">
        <f>I82</f>
        <v>3306115.4</v>
      </c>
      <c r="J78" s="25">
        <f>J82+J81+J83</f>
        <v>4553484.63116</v>
      </c>
      <c r="K78" s="25">
        <f>K81+K82</f>
        <v>6639491.08</v>
      </c>
      <c r="L78" s="66">
        <f>L81+L82</f>
        <v>4937328.76</v>
      </c>
      <c r="M78" s="25" t="e">
        <f>M82</f>
        <v>#REF!</v>
      </c>
      <c r="N78" s="25">
        <f>N82</f>
        <v>32283.370000000003</v>
      </c>
      <c r="O78" s="25"/>
      <c r="P78" s="8"/>
    </row>
    <row r="79" spans="1:16" s="7" customFormat="1" ht="62.25" customHeight="1">
      <c r="A79" s="247" t="s">
        <v>96</v>
      </c>
      <c r="B79" s="247"/>
      <c r="C79" s="247"/>
      <c r="D79" s="247"/>
      <c r="E79" s="19" t="s">
        <v>97</v>
      </c>
      <c r="F79" s="19" t="s">
        <v>98</v>
      </c>
      <c r="G79" s="23"/>
      <c r="H79" s="68">
        <f t="shared" si="2"/>
        <v>0</v>
      </c>
      <c r="I79" s="25"/>
      <c r="J79" s="25"/>
      <c r="K79" s="25"/>
      <c r="L79" s="22"/>
      <c r="M79" s="25"/>
      <c r="N79" s="25"/>
      <c r="O79" s="25"/>
      <c r="P79" s="8"/>
    </row>
    <row r="80" spans="1:16" s="7" customFormat="1" ht="69" customHeight="1">
      <c r="A80" s="247" t="s">
        <v>99</v>
      </c>
      <c r="B80" s="247"/>
      <c r="C80" s="247"/>
      <c r="D80" s="247"/>
      <c r="E80" s="19" t="s">
        <v>100</v>
      </c>
      <c r="F80" s="19" t="s">
        <v>101</v>
      </c>
      <c r="G80" s="23"/>
      <c r="H80" s="68">
        <f t="shared" si="2"/>
        <v>0</v>
      </c>
      <c r="I80" s="25"/>
      <c r="J80" s="25"/>
      <c r="K80" s="25"/>
      <c r="L80" s="22"/>
      <c r="M80" s="25"/>
      <c r="N80" s="25"/>
      <c r="O80" s="25"/>
      <c r="P80" s="8"/>
    </row>
    <row r="81" spans="1:15" ht="70.5" customHeight="1">
      <c r="A81" s="247" t="s">
        <v>102</v>
      </c>
      <c r="B81" s="247"/>
      <c r="C81" s="247"/>
      <c r="D81" s="247"/>
      <c r="E81" s="19" t="s">
        <v>103</v>
      </c>
      <c r="F81" s="19" t="s">
        <v>104</v>
      </c>
      <c r="G81" s="23"/>
      <c r="H81" s="68">
        <f t="shared" si="2"/>
        <v>2124907.68</v>
      </c>
      <c r="I81" s="25"/>
      <c r="J81" s="25"/>
      <c r="K81" s="25">
        <f>K687</f>
        <v>0</v>
      </c>
      <c r="L81" s="66">
        <f>K769+J776</f>
        <v>2124907.68</v>
      </c>
      <c r="M81" s="25"/>
      <c r="N81" s="25"/>
      <c r="O81" s="25"/>
    </row>
    <row r="82" spans="1:15" ht="41.25" customHeight="1">
      <c r="A82" s="247" t="s">
        <v>105</v>
      </c>
      <c r="B82" s="247"/>
      <c r="C82" s="247"/>
      <c r="D82" s="247"/>
      <c r="E82" s="19" t="s">
        <v>106</v>
      </c>
      <c r="F82" s="19" t="s">
        <v>107</v>
      </c>
      <c r="G82" s="23"/>
      <c r="H82" s="68" t="e">
        <f t="shared" si="2"/>
        <v>#REF!</v>
      </c>
      <c r="I82" s="25">
        <f>J140+I150+J157+J180+J173</f>
        <v>3306115.4</v>
      </c>
      <c r="J82" s="25">
        <f>J292+I307+J368+J375+K279+J361+J382</f>
        <v>1481788.19</v>
      </c>
      <c r="K82" s="25">
        <f>K698+H705+H712+J747+H719+H726+I734</f>
        <v>6639491.08</v>
      </c>
      <c r="L82" s="66">
        <f>K787+H794+H801+H809+H816+J852+H830+F823+H837+H844</f>
        <v>2812421.08</v>
      </c>
      <c r="M82" s="25" t="e">
        <f>I414+J440+J477+J400+J393+J630+J461+J531+J492+J447+J484+J509+#REF!+J500+J468+J421+J540+J516</f>
        <v>#REF!</v>
      </c>
      <c r="N82" s="25">
        <f>J618+J611+J428</f>
        <v>32283.370000000003</v>
      </c>
      <c r="O82" s="25"/>
    </row>
    <row r="83" spans="1:15" ht="21.75" customHeight="1">
      <c r="A83" s="250" t="s">
        <v>329</v>
      </c>
      <c r="B83" s="250"/>
      <c r="C83" s="250"/>
      <c r="D83" s="250"/>
      <c r="E83" s="19" t="s">
        <v>330</v>
      </c>
      <c r="F83" s="19" t="s">
        <v>331</v>
      </c>
      <c r="G83" s="23"/>
      <c r="H83" s="68">
        <f t="shared" si="2"/>
        <v>3071696.44116</v>
      </c>
      <c r="I83" s="25"/>
      <c r="J83" s="25">
        <f>K257</f>
        <v>3071696.44116</v>
      </c>
      <c r="K83" s="25"/>
      <c r="L83" s="22"/>
      <c r="M83" s="25"/>
      <c r="N83" s="25"/>
      <c r="O83" s="25"/>
    </row>
    <row r="84" spans="1:15" ht="18.75">
      <c r="A84" s="249"/>
      <c r="B84" s="249"/>
      <c r="C84" s="249"/>
      <c r="D84" s="249"/>
      <c r="E84" s="29"/>
      <c r="F84" s="29"/>
      <c r="G84" s="23"/>
      <c r="H84" s="68">
        <f t="shared" si="2"/>
        <v>0</v>
      </c>
      <c r="I84" s="25"/>
      <c r="J84" s="25"/>
      <c r="K84" s="25"/>
      <c r="L84" s="22"/>
      <c r="M84" s="25"/>
      <c r="N84" s="25"/>
      <c r="O84" s="25"/>
    </row>
    <row r="85" spans="1:15" ht="39.75" customHeight="1">
      <c r="A85" s="247" t="s">
        <v>108</v>
      </c>
      <c r="B85" s="247"/>
      <c r="C85" s="247"/>
      <c r="D85" s="247"/>
      <c r="E85" s="19" t="s">
        <v>109</v>
      </c>
      <c r="F85" s="19" t="s">
        <v>110</v>
      </c>
      <c r="G85" s="23"/>
      <c r="H85" s="68">
        <f t="shared" si="2"/>
        <v>0</v>
      </c>
      <c r="I85" s="25"/>
      <c r="J85" s="25"/>
      <c r="K85" s="25"/>
      <c r="L85" s="22"/>
      <c r="M85" s="25"/>
      <c r="N85" s="25"/>
      <c r="O85" s="25"/>
    </row>
    <row r="86" spans="1:15" ht="61.5" customHeight="1">
      <c r="A86" s="247" t="s">
        <v>111</v>
      </c>
      <c r="B86" s="247"/>
      <c r="C86" s="247"/>
      <c r="D86" s="247"/>
      <c r="E86" s="19" t="s">
        <v>112</v>
      </c>
      <c r="F86" s="19" t="s">
        <v>113</v>
      </c>
      <c r="G86" s="23"/>
      <c r="H86" s="68">
        <f t="shared" si="2"/>
        <v>0</v>
      </c>
      <c r="I86" s="25"/>
      <c r="J86" s="25"/>
      <c r="K86" s="25"/>
      <c r="L86" s="22"/>
      <c r="M86" s="25"/>
      <c r="N86" s="25"/>
      <c r="O86" s="25"/>
    </row>
    <row r="87" spans="1:15" ht="67.5" customHeight="1">
      <c r="A87" s="247" t="s">
        <v>114</v>
      </c>
      <c r="B87" s="247"/>
      <c r="C87" s="247"/>
      <c r="D87" s="247"/>
      <c r="E87" s="19" t="s">
        <v>115</v>
      </c>
      <c r="F87" s="19" t="s">
        <v>116</v>
      </c>
      <c r="G87" s="23"/>
      <c r="H87" s="68">
        <f t="shared" si="2"/>
        <v>0</v>
      </c>
      <c r="I87" s="25"/>
      <c r="J87" s="25"/>
      <c r="K87" s="25"/>
      <c r="L87" s="22"/>
      <c r="M87" s="25"/>
      <c r="N87" s="25"/>
      <c r="O87" s="25"/>
    </row>
    <row r="88" spans="1:15" ht="24.75" customHeight="1">
      <c r="A88" s="248" t="s">
        <v>133</v>
      </c>
      <c r="B88" s="248"/>
      <c r="C88" s="248"/>
      <c r="D88" s="248"/>
      <c r="E88" s="24" t="s">
        <v>117</v>
      </c>
      <c r="F88" s="24" t="s">
        <v>118</v>
      </c>
      <c r="G88" s="23"/>
      <c r="H88" s="68">
        <f t="shared" si="2"/>
        <v>-27799</v>
      </c>
      <c r="I88" s="25"/>
      <c r="J88" s="25"/>
      <c r="K88" s="25"/>
      <c r="L88" s="22"/>
      <c r="M88" s="25">
        <f>M89</f>
        <v>-27799</v>
      </c>
      <c r="N88" s="25"/>
      <c r="O88" s="22" t="s">
        <v>7</v>
      </c>
    </row>
    <row r="89" spans="1:15" ht="41.25" customHeight="1">
      <c r="A89" s="247" t="s">
        <v>134</v>
      </c>
      <c r="B89" s="247"/>
      <c r="C89" s="247"/>
      <c r="D89" s="247"/>
      <c r="E89" s="19" t="s">
        <v>119</v>
      </c>
      <c r="F89" s="19"/>
      <c r="G89" s="23">
        <v>189</v>
      </c>
      <c r="H89" s="68">
        <f t="shared" si="2"/>
        <v>-27799</v>
      </c>
      <c r="I89" s="25"/>
      <c r="J89" s="25"/>
      <c r="K89" s="25"/>
      <c r="L89" s="22"/>
      <c r="M89" s="25">
        <v>-27799</v>
      </c>
      <c r="N89" s="25"/>
      <c r="O89" s="22" t="s">
        <v>7</v>
      </c>
    </row>
    <row r="90" spans="1:15" ht="24.75" customHeight="1">
      <c r="A90" s="247" t="s">
        <v>135</v>
      </c>
      <c r="B90" s="247"/>
      <c r="C90" s="247"/>
      <c r="D90" s="247"/>
      <c r="E90" s="19" t="s">
        <v>120</v>
      </c>
      <c r="F90" s="19"/>
      <c r="G90" s="23"/>
      <c r="H90" s="68">
        <f t="shared" si="2"/>
        <v>0</v>
      </c>
      <c r="I90" s="25"/>
      <c r="J90" s="25"/>
      <c r="K90" s="25"/>
      <c r="L90" s="22"/>
      <c r="M90" s="25"/>
      <c r="N90" s="25"/>
      <c r="O90" s="22" t="s">
        <v>7</v>
      </c>
    </row>
    <row r="91" spans="1:15" ht="21" customHeight="1">
      <c r="A91" s="247" t="s">
        <v>136</v>
      </c>
      <c r="B91" s="247"/>
      <c r="C91" s="247"/>
      <c r="D91" s="247"/>
      <c r="E91" s="19" t="s">
        <v>121</v>
      </c>
      <c r="F91" s="19"/>
      <c r="G91" s="23"/>
      <c r="H91" s="68">
        <f t="shared" si="2"/>
        <v>0</v>
      </c>
      <c r="I91" s="25"/>
      <c r="J91" s="25"/>
      <c r="K91" s="25"/>
      <c r="L91" s="22"/>
      <c r="M91" s="25"/>
      <c r="N91" s="25"/>
      <c r="O91" s="22" t="s">
        <v>7</v>
      </c>
    </row>
    <row r="92" spans="1:15" ht="27" customHeight="1">
      <c r="A92" s="248" t="s">
        <v>137</v>
      </c>
      <c r="B92" s="248"/>
      <c r="C92" s="248"/>
      <c r="D92" s="248"/>
      <c r="E92" s="24" t="s">
        <v>122</v>
      </c>
      <c r="F92" s="24" t="s">
        <v>7</v>
      </c>
      <c r="G92" s="23"/>
      <c r="H92" s="68">
        <f t="shared" si="2"/>
        <v>0</v>
      </c>
      <c r="I92" s="25"/>
      <c r="J92" s="25"/>
      <c r="K92" s="25">
        <f>K93</f>
        <v>0</v>
      </c>
      <c r="L92" s="66">
        <f>L93</f>
        <v>0</v>
      </c>
      <c r="M92" s="25"/>
      <c r="N92" s="25">
        <f>N93</f>
        <v>0</v>
      </c>
      <c r="O92" s="22" t="s">
        <v>7</v>
      </c>
    </row>
    <row r="93" spans="1:15" ht="41.25" customHeight="1">
      <c r="A93" s="247" t="s">
        <v>123</v>
      </c>
      <c r="B93" s="247"/>
      <c r="C93" s="247"/>
      <c r="D93" s="247"/>
      <c r="E93" s="19" t="s">
        <v>124</v>
      </c>
      <c r="F93" s="19" t="s">
        <v>125</v>
      </c>
      <c r="G93" s="23"/>
      <c r="H93" s="68">
        <f t="shared" si="2"/>
        <v>0</v>
      </c>
      <c r="I93" s="25"/>
      <c r="J93" s="25"/>
      <c r="K93" s="25"/>
      <c r="L93" s="66"/>
      <c r="M93" s="25"/>
      <c r="N93" s="25">
        <v>0</v>
      </c>
      <c r="O93" s="22" t="s">
        <v>7</v>
      </c>
    </row>
    <row r="94" spans="2:3" ht="16.5" customHeight="1">
      <c r="B94" s="18"/>
      <c r="C94" s="18"/>
    </row>
    <row r="95" ht="3" customHeight="1"/>
    <row r="96" spans="1:16" ht="18.75">
      <c r="A96" s="114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14"/>
      <c r="N96" s="114"/>
      <c r="O96" s="124"/>
      <c r="P96" s="40"/>
    </row>
    <row r="97" spans="1:16" ht="18.75">
      <c r="A97" s="51"/>
      <c r="B97" s="51" t="s">
        <v>147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  <c r="P97" s="42"/>
    </row>
    <row r="98" spans="1:16" ht="18.75">
      <c r="A98" s="51"/>
      <c r="B98" s="51" t="s">
        <v>148</v>
      </c>
      <c r="C98" s="81"/>
      <c r="D98" s="110">
        <v>100</v>
      </c>
      <c r="E98" s="110"/>
      <c r="F98" s="110"/>
      <c r="G98" s="110"/>
      <c r="H98" s="54"/>
      <c r="I98" s="51"/>
      <c r="J98" s="51"/>
      <c r="K98" s="51"/>
      <c r="L98" s="51"/>
      <c r="M98" s="51"/>
      <c r="N98" s="51"/>
      <c r="O98" s="52"/>
      <c r="P98" s="42"/>
    </row>
    <row r="99" spans="1:16" ht="18.75">
      <c r="A99" s="51"/>
      <c r="B99" s="51" t="s">
        <v>149</v>
      </c>
      <c r="C99" s="51"/>
      <c r="D99" s="81"/>
      <c r="E99" s="81"/>
      <c r="F99" s="162" t="s">
        <v>508</v>
      </c>
      <c r="G99" s="162"/>
      <c r="H99" s="162"/>
      <c r="I99" s="162"/>
      <c r="J99" s="161"/>
      <c r="K99" s="51"/>
      <c r="L99" s="51"/>
      <c r="M99" s="51"/>
      <c r="N99" s="51"/>
      <c r="O99" s="52"/>
      <c r="P99" s="42"/>
    </row>
    <row r="100" spans="1:16" ht="18.75">
      <c r="A100" s="51"/>
      <c r="B100" s="51"/>
      <c r="C100" s="51"/>
      <c r="D100" s="54"/>
      <c r="E100" s="54"/>
      <c r="F100" s="54"/>
      <c r="G100" s="54"/>
      <c r="H100" s="54"/>
      <c r="I100" s="51"/>
      <c r="J100" s="51"/>
      <c r="K100" s="51"/>
      <c r="L100" s="51"/>
      <c r="M100" s="51"/>
      <c r="N100" s="51"/>
      <c r="O100" s="52"/>
      <c r="P100" s="42"/>
    </row>
    <row r="101" spans="1:16" ht="18.75">
      <c r="A101" s="51"/>
      <c r="B101" s="51" t="s">
        <v>380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  <c r="P101" s="42"/>
    </row>
    <row r="102" spans="1:17" ht="18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  <c r="P102" s="42"/>
      <c r="Q102" s="77"/>
    </row>
    <row r="103" spans="1:18" ht="56.25" customHeight="1">
      <c r="A103" s="47" t="s">
        <v>151</v>
      </c>
      <c r="B103" s="187" t="s">
        <v>152</v>
      </c>
      <c r="C103" s="187"/>
      <c r="D103" s="187"/>
      <c r="E103" s="187"/>
      <c r="F103" s="208" t="s">
        <v>153</v>
      </c>
      <c r="G103" s="208"/>
      <c r="H103" s="59" t="s">
        <v>154</v>
      </c>
      <c r="I103" s="59" t="s">
        <v>155</v>
      </c>
      <c r="J103" s="201" t="s">
        <v>156</v>
      </c>
      <c r="K103" s="202"/>
      <c r="L103" s="51"/>
      <c r="M103" s="51"/>
      <c r="N103" s="51"/>
      <c r="O103" s="52"/>
      <c r="P103" s="42"/>
      <c r="R103" s="77"/>
    </row>
    <row r="104" spans="1:18" ht="20.25">
      <c r="A104" s="148">
        <v>1</v>
      </c>
      <c r="B104" s="192">
        <v>2</v>
      </c>
      <c r="C104" s="193"/>
      <c r="D104" s="193"/>
      <c r="E104" s="194"/>
      <c r="F104" s="201">
        <v>3</v>
      </c>
      <c r="G104" s="202"/>
      <c r="H104" s="152">
        <v>4</v>
      </c>
      <c r="I104" s="94">
        <v>5</v>
      </c>
      <c r="J104" s="201">
        <v>6</v>
      </c>
      <c r="K104" s="202"/>
      <c r="L104" s="157"/>
      <c r="M104" s="157"/>
      <c r="N104" s="157"/>
      <c r="O104" s="60"/>
      <c r="P104" s="43"/>
      <c r="Q104" s="102"/>
      <c r="R104" s="8"/>
    </row>
    <row r="105" spans="1:18" ht="18.75">
      <c r="A105" s="230">
        <v>1</v>
      </c>
      <c r="B105" s="232" t="s">
        <v>157</v>
      </c>
      <c r="C105" s="233"/>
      <c r="D105" s="233"/>
      <c r="E105" s="234"/>
      <c r="F105" s="176">
        <v>211</v>
      </c>
      <c r="G105" s="176"/>
      <c r="H105" s="238">
        <f>J107/I105</f>
        <v>2649082.9158333335</v>
      </c>
      <c r="I105" s="240">
        <v>12</v>
      </c>
      <c r="J105" s="197">
        <f>31788940-J106-1730519.09+1752678.19-22104.11</f>
        <v>31688994.990000002</v>
      </c>
      <c r="K105" s="197"/>
      <c r="L105" s="51"/>
      <c r="M105" s="51"/>
      <c r="N105" s="51"/>
      <c r="O105" s="52"/>
      <c r="P105" s="42"/>
      <c r="Q105" s="75"/>
      <c r="R105" s="77"/>
    </row>
    <row r="106" spans="1:17" ht="18.75">
      <c r="A106" s="231"/>
      <c r="B106" s="235"/>
      <c r="C106" s="236"/>
      <c r="D106" s="236"/>
      <c r="E106" s="237"/>
      <c r="F106" s="173">
        <v>266</v>
      </c>
      <c r="G106" s="175"/>
      <c r="H106" s="239"/>
      <c r="I106" s="241"/>
      <c r="J106" s="203">
        <v>100000</v>
      </c>
      <c r="K106" s="204"/>
      <c r="L106" s="51"/>
      <c r="M106" s="51"/>
      <c r="N106" s="51"/>
      <c r="O106" s="52"/>
      <c r="P106" s="42"/>
      <c r="Q106" s="75"/>
    </row>
    <row r="107" spans="1:17" ht="18.75">
      <c r="A107" s="47"/>
      <c r="B107" s="173" t="s">
        <v>130</v>
      </c>
      <c r="C107" s="174"/>
      <c r="D107" s="174"/>
      <c r="E107" s="175"/>
      <c r="F107" s="176"/>
      <c r="G107" s="176"/>
      <c r="H107" s="96" t="s">
        <v>158</v>
      </c>
      <c r="I107" s="97"/>
      <c r="J107" s="197">
        <f>J105+J106</f>
        <v>31788994.990000002</v>
      </c>
      <c r="K107" s="197"/>
      <c r="L107" s="51"/>
      <c r="M107" s="51"/>
      <c r="N107" s="51"/>
      <c r="O107" s="52"/>
      <c r="P107" s="44"/>
      <c r="Q107" s="75"/>
    </row>
    <row r="108" spans="1:17" ht="18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  <c r="P108" s="42"/>
      <c r="Q108" s="75"/>
    </row>
    <row r="109" spans="1:17" ht="18.75">
      <c r="A109" s="51"/>
      <c r="B109" s="51" t="s">
        <v>381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  <c r="P109" s="42"/>
      <c r="Q109" s="75"/>
    </row>
    <row r="110" spans="1:17" ht="18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  <c r="P110" s="42"/>
      <c r="Q110" s="75"/>
    </row>
    <row r="111" spans="1:17" ht="93.75">
      <c r="A111" s="47" t="s">
        <v>151</v>
      </c>
      <c r="B111" s="173" t="s">
        <v>163</v>
      </c>
      <c r="C111" s="174"/>
      <c r="D111" s="174"/>
      <c r="E111" s="175"/>
      <c r="F111" s="201" t="s">
        <v>164</v>
      </c>
      <c r="G111" s="202"/>
      <c r="H111" s="59" t="s">
        <v>165</v>
      </c>
      <c r="I111" s="201" t="s">
        <v>166</v>
      </c>
      <c r="J111" s="202"/>
      <c r="K111" s="51"/>
      <c r="L111" s="51"/>
      <c r="M111" s="51"/>
      <c r="N111" s="51"/>
      <c r="O111" s="52"/>
      <c r="P111" s="42"/>
      <c r="Q111" s="75"/>
    </row>
    <row r="112" spans="1:19" ht="18.75">
      <c r="A112" s="148">
        <v>1</v>
      </c>
      <c r="B112" s="173">
        <v>2</v>
      </c>
      <c r="C112" s="174"/>
      <c r="D112" s="174"/>
      <c r="E112" s="175"/>
      <c r="F112" s="173">
        <v>3</v>
      </c>
      <c r="G112" s="175"/>
      <c r="H112" s="148">
        <v>4</v>
      </c>
      <c r="I112" s="173">
        <v>5</v>
      </c>
      <c r="J112" s="175"/>
      <c r="K112" s="51"/>
      <c r="L112" s="51"/>
      <c r="M112" s="51"/>
      <c r="N112" s="51"/>
      <c r="O112" s="52"/>
      <c r="P112" s="42"/>
      <c r="Q112" s="75"/>
      <c r="R112" s="8"/>
      <c r="S112" s="8"/>
    </row>
    <row r="113" spans="1:19" ht="18.75" customHeight="1">
      <c r="A113" s="47">
        <v>1</v>
      </c>
      <c r="B113" s="167" t="s">
        <v>167</v>
      </c>
      <c r="C113" s="168"/>
      <c r="D113" s="168"/>
      <c r="E113" s="169"/>
      <c r="F113" s="173">
        <v>213</v>
      </c>
      <c r="G113" s="175"/>
      <c r="H113" s="98">
        <v>30.2</v>
      </c>
      <c r="I113" s="203">
        <f>9600260-522616.76+529308.81-6675.44</f>
        <v>9600276.610000001</v>
      </c>
      <c r="J113" s="204"/>
      <c r="K113" s="51"/>
      <c r="L113" s="51"/>
      <c r="M113" s="51"/>
      <c r="N113" s="51"/>
      <c r="O113" s="52"/>
      <c r="P113" s="42"/>
      <c r="Q113" s="75"/>
      <c r="R113" s="77"/>
      <c r="S113" s="77"/>
    </row>
    <row r="114" spans="1:17" ht="18.75">
      <c r="A114" s="47"/>
      <c r="B114" s="173" t="s">
        <v>130</v>
      </c>
      <c r="C114" s="174"/>
      <c r="D114" s="174"/>
      <c r="E114" s="175"/>
      <c r="F114" s="173"/>
      <c r="G114" s="175"/>
      <c r="H114" s="47" t="s">
        <v>168</v>
      </c>
      <c r="I114" s="203">
        <f>SUM(I113:I113)</f>
        <v>9600276.610000001</v>
      </c>
      <c r="J114" s="204"/>
      <c r="K114" s="51"/>
      <c r="L114" s="51"/>
      <c r="M114" s="51"/>
      <c r="N114" s="51"/>
      <c r="O114" s="52"/>
      <c r="P114" s="44"/>
      <c r="Q114" s="75"/>
    </row>
    <row r="115" spans="1:17" ht="18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  <c r="P115" s="42"/>
      <c r="Q115" s="75"/>
    </row>
    <row r="116" spans="1:17" ht="18.75">
      <c r="A116" s="51"/>
      <c r="B116" s="51" t="s">
        <v>382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  <c r="P116" s="42"/>
      <c r="Q116" s="75"/>
    </row>
    <row r="117" spans="1:17" ht="18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  <c r="P117" s="42"/>
      <c r="Q117" s="75"/>
    </row>
    <row r="118" spans="1:17" ht="93.75">
      <c r="A118" s="47" t="s">
        <v>151</v>
      </c>
      <c r="B118" s="192" t="s">
        <v>0</v>
      </c>
      <c r="C118" s="193"/>
      <c r="D118" s="193"/>
      <c r="E118" s="194"/>
      <c r="F118" s="208" t="s">
        <v>164</v>
      </c>
      <c r="G118" s="208"/>
      <c r="H118" s="151" t="s">
        <v>277</v>
      </c>
      <c r="I118" s="151" t="s">
        <v>278</v>
      </c>
      <c r="J118" s="151" t="s">
        <v>174</v>
      </c>
      <c r="K118" s="51"/>
      <c r="L118" s="51"/>
      <c r="M118" s="51"/>
      <c r="N118" s="52"/>
      <c r="O118" s="42"/>
      <c r="P118" s="42"/>
      <c r="Q118" s="75"/>
    </row>
    <row r="119" spans="1:17" ht="18.75">
      <c r="A119" s="148">
        <v>1</v>
      </c>
      <c r="B119" s="176">
        <v>2</v>
      </c>
      <c r="C119" s="176"/>
      <c r="D119" s="176"/>
      <c r="E119" s="176"/>
      <c r="F119" s="176">
        <v>3</v>
      </c>
      <c r="G119" s="176"/>
      <c r="H119" s="148">
        <v>4</v>
      </c>
      <c r="I119" s="148">
        <v>5</v>
      </c>
      <c r="J119" s="148">
        <v>6</v>
      </c>
      <c r="K119" s="157"/>
      <c r="L119" s="51"/>
      <c r="M119" s="51"/>
      <c r="N119" s="52"/>
      <c r="O119" s="42"/>
      <c r="P119" s="42"/>
      <c r="Q119" s="75"/>
    </row>
    <row r="120" spans="1:17" ht="18.75">
      <c r="A120" s="120">
        <v>1</v>
      </c>
      <c r="B120" s="246" t="s">
        <v>279</v>
      </c>
      <c r="C120" s="246"/>
      <c r="D120" s="246"/>
      <c r="E120" s="246"/>
      <c r="F120" s="176">
        <v>212</v>
      </c>
      <c r="G120" s="176"/>
      <c r="H120" s="120">
        <v>0</v>
      </c>
      <c r="I120" s="120">
        <v>0</v>
      </c>
      <c r="J120" s="76">
        <f>2000-2000</f>
        <v>0</v>
      </c>
      <c r="K120" s="51"/>
      <c r="L120" s="51"/>
      <c r="M120" s="51"/>
      <c r="N120" s="52"/>
      <c r="O120" s="42"/>
      <c r="P120" s="42"/>
      <c r="Q120" s="75"/>
    </row>
    <row r="121" spans="1:17" ht="18.75">
      <c r="A121" s="120"/>
      <c r="B121" s="173" t="s">
        <v>130</v>
      </c>
      <c r="C121" s="174"/>
      <c r="D121" s="174"/>
      <c r="E121" s="175"/>
      <c r="F121" s="176"/>
      <c r="G121" s="176"/>
      <c r="H121" s="120" t="s">
        <v>168</v>
      </c>
      <c r="I121" s="120" t="s">
        <v>168</v>
      </c>
      <c r="J121" s="76">
        <f>SUM(J120:J120)</f>
        <v>0</v>
      </c>
      <c r="K121" s="51"/>
      <c r="L121" s="51"/>
      <c r="M121" s="51"/>
      <c r="N121" s="52"/>
      <c r="O121" s="42"/>
      <c r="P121" s="42"/>
      <c r="Q121" s="75"/>
    </row>
    <row r="122" spans="1:17" ht="18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  <c r="P122" s="42"/>
      <c r="Q122" s="75"/>
    </row>
    <row r="123" spans="1:17" ht="18.75">
      <c r="A123" s="51"/>
      <c r="B123" s="51" t="s">
        <v>383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/>
      <c r="P123" s="42"/>
      <c r="Q123" s="75"/>
    </row>
    <row r="124" spans="1:17" ht="18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  <c r="P124" s="42"/>
      <c r="Q124" s="75"/>
    </row>
    <row r="125" spans="1:17" ht="75">
      <c r="A125" s="47" t="s">
        <v>151</v>
      </c>
      <c r="B125" s="192" t="s">
        <v>0</v>
      </c>
      <c r="C125" s="193"/>
      <c r="D125" s="193"/>
      <c r="E125" s="194"/>
      <c r="F125" s="208" t="s">
        <v>164</v>
      </c>
      <c r="G125" s="208"/>
      <c r="H125" s="151" t="s">
        <v>280</v>
      </c>
      <c r="I125" s="151" t="s">
        <v>281</v>
      </c>
      <c r="J125" s="151" t="s">
        <v>174</v>
      </c>
      <c r="K125" s="51"/>
      <c r="L125" s="51"/>
      <c r="M125" s="51"/>
      <c r="N125" s="52"/>
      <c r="O125" s="42"/>
      <c r="P125" s="42"/>
      <c r="Q125" s="75"/>
    </row>
    <row r="126" spans="1:17" ht="18.75">
      <c r="A126" s="148">
        <v>1</v>
      </c>
      <c r="B126" s="176">
        <v>2</v>
      </c>
      <c r="C126" s="176"/>
      <c r="D126" s="176"/>
      <c r="E126" s="176"/>
      <c r="F126" s="176">
        <v>3</v>
      </c>
      <c r="G126" s="176"/>
      <c r="H126" s="148">
        <v>4</v>
      </c>
      <c r="I126" s="148">
        <v>5</v>
      </c>
      <c r="J126" s="148">
        <v>6</v>
      </c>
      <c r="K126" s="157"/>
      <c r="L126" s="51"/>
      <c r="M126" s="51"/>
      <c r="N126" s="52"/>
      <c r="O126" s="42"/>
      <c r="P126" s="42"/>
      <c r="Q126" s="75"/>
    </row>
    <row r="127" spans="1:17" ht="41.25" customHeight="1">
      <c r="A127" s="120">
        <v>1</v>
      </c>
      <c r="B127" s="246" t="s">
        <v>282</v>
      </c>
      <c r="C127" s="246"/>
      <c r="D127" s="246"/>
      <c r="E127" s="246"/>
      <c r="F127" s="176">
        <v>226</v>
      </c>
      <c r="G127" s="176"/>
      <c r="H127" s="120">
        <v>0</v>
      </c>
      <c r="I127" s="76" t="e">
        <f>J127/H127</f>
        <v>#DIV/0!</v>
      </c>
      <c r="J127" s="76">
        <f>12000-12000</f>
        <v>0</v>
      </c>
      <c r="K127" s="51"/>
      <c r="L127" s="51"/>
      <c r="M127" s="51"/>
      <c r="N127" s="52"/>
      <c r="O127" s="42"/>
      <c r="P127" s="42"/>
      <c r="Q127" s="75"/>
    </row>
    <row r="128" spans="1:17" ht="18.75">
      <c r="A128" s="120"/>
      <c r="B128" s="173" t="s">
        <v>130</v>
      </c>
      <c r="C128" s="174"/>
      <c r="D128" s="174"/>
      <c r="E128" s="175"/>
      <c r="F128" s="176"/>
      <c r="G128" s="176"/>
      <c r="H128" s="120" t="s">
        <v>168</v>
      </c>
      <c r="I128" s="120" t="s">
        <v>168</v>
      </c>
      <c r="J128" s="76">
        <f>SUM(J127:J127)</f>
        <v>0</v>
      </c>
      <c r="K128" s="51"/>
      <c r="L128" s="51"/>
      <c r="M128" s="51"/>
      <c r="N128" s="52"/>
      <c r="O128" s="42"/>
      <c r="P128" s="42"/>
      <c r="Q128" s="75"/>
    </row>
    <row r="129" spans="1:17" ht="18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  <c r="P129" s="42"/>
      <c r="Q129" s="75"/>
    </row>
    <row r="130" spans="1:17" ht="18.75">
      <c r="A130" s="51"/>
      <c r="B130" s="51" t="s">
        <v>251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  <c r="P130" s="42"/>
      <c r="Q130" s="75"/>
    </row>
    <row r="131" spans="1:17" ht="18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  <c r="P131" s="42"/>
      <c r="Q131" s="75"/>
    </row>
    <row r="132" spans="1:17" ht="18.75">
      <c r="A132" s="33"/>
      <c r="B132" s="51" t="s">
        <v>176</v>
      </c>
      <c r="C132" s="33"/>
      <c r="D132" s="110">
        <v>244</v>
      </c>
      <c r="E132" s="110"/>
      <c r="F132" s="54"/>
      <c r="G132" s="51"/>
      <c r="H132" s="51"/>
      <c r="I132" s="51"/>
      <c r="J132" s="51"/>
      <c r="K132" s="51"/>
      <c r="L132" s="51"/>
      <c r="M132" s="51"/>
      <c r="N132" s="51"/>
      <c r="O132" s="52"/>
      <c r="P132" s="42"/>
      <c r="Q132" s="75"/>
    </row>
    <row r="133" spans="1:17" ht="18.75">
      <c r="A133" s="33"/>
      <c r="B133" s="51" t="s">
        <v>177</v>
      </c>
      <c r="C133" s="81"/>
      <c r="D133" s="81"/>
      <c r="E133" s="110" t="s">
        <v>150</v>
      </c>
      <c r="F133" s="110"/>
      <c r="G133" s="110"/>
      <c r="H133" s="110"/>
      <c r="I133" s="110"/>
      <c r="J133" s="110"/>
      <c r="K133" s="51"/>
      <c r="L133" s="51"/>
      <c r="M133" s="51"/>
      <c r="N133" s="51"/>
      <c r="O133" s="52"/>
      <c r="P133" s="42"/>
      <c r="Q133" s="75"/>
    </row>
    <row r="134" spans="1:17" ht="18.75">
      <c r="A134" s="51"/>
      <c r="B134" s="51"/>
      <c r="C134" s="54"/>
      <c r="D134" s="54"/>
      <c r="E134" s="54"/>
      <c r="F134" s="54"/>
      <c r="G134" s="51"/>
      <c r="H134" s="51"/>
      <c r="I134" s="51"/>
      <c r="J134" s="51"/>
      <c r="K134" s="51"/>
      <c r="L134" s="51"/>
      <c r="M134" s="51"/>
      <c r="N134" s="51"/>
      <c r="O134" s="52"/>
      <c r="P134" s="42"/>
      <c r="Q134" s="75"/>
    </row>
    <row r="135" spans="1:17" ht="18.75">
      <c r="A135" s="33"/>
      <c r="B135" s="123" t="s">
        <v>384</v>
      </c>
      <c r="C135" s="123"/>
      <c r="D135" s="123"/>
      <c r="E135" s="123"/>
      <c r="F135" s="123"/>
      <c r="G135" s="123"/>
      <c r="H135" s="123"/>
      <c r="I135" s="123"/>
      <c r="J135" s="123"/>
      <c r="K135" s="157"/>
      <c r="L135" s="157"/>
      <c r="M135" s="51"/>
      <c r="N135" s="51"/>
      <c r="O135" s="52"/>
      <c r="P135" s="42"/>
      <c r="Q135" s="75"/>
    </row>
    <row r="136" spans="1:17" ht="18.75">
      <c r="A136" s="33"/>
      <c r="B136" s="123"/>
      <c r="C136" s="123"/>
      <c r="D136" s="123"/>
      <c r="E136" s="123"/>
      <c r="F136" s="123"/>
      <c r="G136" s="123"/>
      <c r="H136" s="123"/>
      <c r="I136" s="123"/>
      <c r="J136" s="123"/>
      <c r="K136" s="157"/>
      <c r="L136" s="157"/>
      <c r="M136" s="51"/>
      <c r="N136" s="51"/>
      <c r="O136" s="52"/>
      <c r="P136" s="42"/>
      <c r="Q136" s="75"/>
    </row>
    <row r="137" spans="1:17" ht="75" customHeight="1">
      <c r="A137" s="47" t="s">
        <v>151</v>
      </c>
      <c r="B137" s="208" t="s">
        <v>152</v>
      </c>
      <c r="C137" s="208"/>
      <c r="D137" s="59" t="s">
        <v>164</v>
      </c>
      <c r="E137" s="208" t="s">
        <v>193</v>
      </c>
      <c r="F137" s="208"/>
      <c r="G137" s="208" t="s">
        <v>194</v>
      </c>
      <c r="H137" s="208"/>
      <c r="I137" s="59" t="s">
        <v>195</v>
      </c>
      <c r="J137" s="59" t="s">
        <v>174</v>
      </c>
      <c r="K137" s="51"/>
      <c r="L137" s="51"/>
      <c r="M137" s="51"/>
      <c r="N137" s="51"/>
      <c r="O137" s="52"/>
      <c r="P137" s="42"/>
      <c r="Q137" s="75"/>
    </row>
    <row r="138" spans="1:17" ht="18.75">
      <c r="A138" s="148">
        <v>1</v>
      </c>
      <c r="B138" s="176">
        <v>2</v>
      </c>
      <c r="C138" s="176"/>
      <c r="D138" s="148">
        <v>3</v>
      </c>
      <c r="E138" s="176">
        <v>4</v>
      </c>
      <c r="F138" s="176"/>
      <c r="G138" s="176">
        <v>5</v>
      </c>
      <c r="H138" s="176"/>
      <c r="I138" s="148">
        <v>6</v>
      </c>
      <c r="J138" s="163">
        <v>7</v>
      </c>
      <c r="K138" s="51"/>
      <c r="L138" s="51"/>
      <c r="M138" s="51"/>
      <c r="N138" s="51"/>
      <c r="O138" s="52"/>
      <c r="P138" s="42"/>
      <c r="Q138" s="75"/>
    </row>
    <row r="139" spans="1:17" ht="18.75">
      <c r="A139" s="47">
        <v>1</v>
      </c>
      <c r="B139" s="215" t="s">
        <v>196</v>
      </c>
      <c r="C139" s="215"/>
      <c r="D139" s="148">
        <v>221</v>
      </c>
      <c r="E139" s="176">
        <v>2</v>
      </c>
      <c r="F139" s="176"/>
      <c r="G139" s="176">
        <v>12</v>
      </c>
      <c r="H139" s="176"/>
      <c r="I139" s="50">
        <f>J139/G139</f>
        <v>1250</v>
      </c>
      <c r="J139" s="50">
        <v>15000</v>
      </c>
      <c r="K139" s="51"/>
      <c r="L139" s="51"/>
      <c r="M139" s="51"/>
      <c r="N139" s="51"/>
      <c r="O139" s="52"/>
      <c r="P139" s="42"/>
      <c r="Q139" s="75"/>
    </row>
    <row r="140" spans="1:17" ht="18.75">
      <c r="A140" s="47"/>
      <c r="B140" s="176" t="s">
        <v>130</v>
      </c>
      <c r="C140" s="176"/>
      <c r="D140" s="148"/>
      <c r="E140" s="176" t="s">
        <v>168</v>
      </c>
      <c r="F140" s="176"/>
      <c r="G140" s="176" t="s">
        <v>168</v>
      </c>
      <c r="H140" s="176"/>
      <c r="I140" s="47" t="s">
        <v>168</v>
      </c>
      <c r="J140" s="50">
        <f>SUM(J139:J139)</f>
        <v>15000</v>
      </c>
      <c r="K140" s="51"/>
      <c r="L140" s="51"/>
      <c r="M140" s="51"/>
      <c r="N140" s="51"/>
      <c r="O140" s="52"/>
      <c r="P140" s="49"/>
      <c r="Q140" s="75"/>
    </row>
    <row r="141" spans="1:17" ht="18.75">
      <c r="A141" s="33"/>
      <c r="B141" s="123"/>
      <c r="C141" s="123"/>
      <c r="D141" s="123"/>
      <c r="E141" s="123"/>
      <c r="F141" s="123"/>
      <c r="G141" s="123"/>
      <c r="H141" s="123"/>
      <c r="I141" s="123"/>
      <c r="J141" s="123"/>
      <c r="K141" s="157"/>
      <c r="L141" s="157"/>
      <c r="M141" s="51"/>
      <c r="N141" s="51"/>
      <c r="O141" s="52"/>
      <c r="P141" s="42"/>
      <c r="Q141" s="75"/>
    </row>
    <row r="142" spans="1:17" ht="18.75">
      <c r="A142" s="33"/>
      <c r="B142" s="51" t="s">
        <v>385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  <c r="P142" s="42"/>
      <c r="Q142" s="75"/>
    </row>
    <row r="143" spans="1:17" ht="18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42"/>
      <c r="Q143" s="75"/>
    </row>
    <row r="144" spans="1:17" ht="37.5" customHeight="1">
      <c r="A144" s="47" t="s">
        <v>151</v>
      </c>
      <c r="B144" s="208" t="s">
        <v>0</v>
      </c>
      <c r="C144" s="208"/>
      <c r="D144" s="208"/>
      <c r="E144" s="208"/>
      <c r="F144" s="208" t="s">
        <v>164</v>
      </c>
      <c r="G144" s="208"/>
      <c r="H144" s="59" t="s">
        <v>185</v>
      </c>
      <c r="I144" s="59" t="s">
        <v>169</v>
      </c>
      <c r="J144" s="51"/>
      <c r="K144" s="51"/>
      <c r="L144" s="51"/>
      <c r="M144" s="51"/>
      <c r="N144" s="51"/>
      <c r="O144" s="52"/>
      <c r="P144" s="42"/>
      <c r="Q144" s="75"/>
    </row>
    <row r="145" spans="1:17" ht="18.75">
      <c r="A145" s="148">
        <v>1</v>
      </c>
      <c r="B145" s="176">
        <v>2</v>
      </c>
      <c r="C145" s="176"/>
      <c r="D145" s="176"/>
      <c r="E145" s="176"/>
      <c r="F145" s="176">
        <v>3</v>
      </c>
      <c r="G145" s="176"/>
      <c r="H145" s="148">
        <v>4</v>
      </c>
      <c r="I145" s="148">
        <v>5</v>
      </c>
      <c r="J145" s="157"/>
      <c r="K145" s="157"/>
      <c r="L145" s="157"/>
      <c r="M145" s="157"/>
      <c r="N145" s="157"/>
      <c r="O145" s="60"/>
      <c r="P145" s="43"/>
      <c r="Q145" s="75"/>
    </row>
    <row r="146" spans="1:17" ht="18.75" customHeight="1">
      <c r="A146" s="47">
        <v>1</v>
      </c>
      <c r="B146" s="245" t="s">
        <v>233</v>
      </c>
      <c r="C146" s="245"/>
      <c r="D146" s="245"/>
      <c r="E146" s="245"/>
      <c r="F146" s="176">
        <v>226</v>
      </c>
      <c r="G146" s="176"/>
      <c r="H146" s="47">
        <v>1</v>
      </c>
      <c r="I146" s="50">
        <f>28900-28236.5</f>
        <v>663.5</v>
      </c>
      <c r="J146" s="103"/>
      <c r="K146" s="51"/>
      <c r="L146" s="51"/>
      <c r="M146" s="51"/>
      <c r="N146" s="51"/>
      <c r="O146" s="52"/>
      <c r="P146" s="42"/>
      <c r="Q146" s="75"/>
    </row>
    <row r="147" spans="1:18" ht="21" customHeight="1">
      <c r="A147" s="47">
        <v>2</v>
      </c>
      <c r="B147" s="242" t="s">
        <v>260</v>
      </c>
      <c r="C147" s="243"/>
      <c r="D147" s="243"/>
      <c r="E147" s="244"/>
      <c r="F147" s="173">
        <v>226</v>
      </c>
      <c r="G147" s="175"/>
      <c r="H147" s="47">
        <v>1</v>
      </c>
      <c r="I147" s="50">
        <v>220500</v>
      </c>
      <c r="J147" s="51"/>
      <c r="K147" s="51"/>
      <c r="L147" s="51"/>
      <c r="M147" s="51"/>
      <c r="N147" s="51"/>
      <c r="O147" s="52"/>
      <c r="P147" s="42"/>
      <c r="Q147" s="75"/>
      <c r="R147" s="8"/>
    </row>
    <row r="148" spans="1:17" ht="21" customHeight="1">
      <c r="A148" s="47">
        <v>3</v>
      </c>
      <c r="B148" s="242" t="s">
        <v>324</v>
      </c>
      <c r="C148" s="243"/>
      <c r="D148" s="243"/>
      <c r="E148" s="244"/>
      <c r="F148" s="173">
        <v>226</v>
      </c>
      <c r="G148" s="175"/>
      <c r="H148" s="47">
        <v>2</v>
      </c>
      <c r="I148" s="50">
        <v>18000</v>
      </c>
      <c r="J148" s="51"/>
      <c r="K148" s="51"/>
      <c r="L148" s="51"/>
      <c r="M148" s="51"/>
      <c r="N148" s="51"/>
      <c r="O148" s="52"/>
      <c r="P148" s="42"/>
      <c r="Q148" s="75"/>
    </row>
    <row r="149" spans="1:17" ht="84.75" customHeight="1">
      <c r="A149" s="47">
        <v>4</v>
      </c>
      <c r="B149" s="242" t="s">
        <v>448</v>
      </c>
      <c r="C149" s="243"/>
      <c r="D149" s="243"/>
      <c r="E149" s="244"/>
      <c r="F149" s="173">
        <v>226</v>
      </c>
      <c r="G149" s="175"/>
      <c r="H149" s="47">
        <v>1</v>
      </c>
      <c r="I149" s="50">
        <f>12096-3740</f>
        <v>8356</v>
      </c>
      <c r="J149" s="51"/>
      <c r="K149" s="51"/>
      <c r="L149" s="51"/>
      <c r="M149" s="51"/>
      <c r="N149" s="51"/>
      <c r="O149" s="52"/>
      <c r="P149" s="42"/>
      <c r="Q149" s="75"/>
    </row>
    <row r="150" spans="1:17" ht="18.75">
      <c r="A150" s="47"/>
      <c r="B150" s="173" t="s">
        <v>130</v>
      </c>
      <c r="C150" s="174"/>
      <c r="D150" s="174"/>
      <c r="E150" s="175"/>
      <c r="F150" s="176"/>
      <c r="G150" s="176"/>
      <c r="H150" s="47" t="s">
        <v>7</v>
      </c>
      <c r="I150" s="50">
        <f>SUM(I146:I149)</f>
        <v>247519.5</v>
      </c>
      <c r="J150" s="51"/>
      <c r="K150" s="51"/>
      <c r="L150" s="51"/>
      <c r="M150" s="51"/>
      <c r="N150" s="51"/>
      <c r="O150" s="52"/>
      <c r="P150" s="44"/>
      <c r="Q150" s="75"/>
    </row>
    <row r="151" spans="1:17" ht="18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  <c r="P151" s="42"/>
      <c r="Q151" s="75"/>
    </row>
    <row r="152" spans="1:17" ht="18.75">
      <c r="A152" s="33"/>
      <c r="B152" s="51" t="s">
        <v>386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  <c r="P152" s="42"/>
      <c r="Q152" s="75"/>
    </row>
    <row r="153" spans="1:17" ht="18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  <c r="P153" s="42"/>
      <c r="Q153" s="75"/>
    </row>
    <row r="154" spans="1:17" ht="56.25" customHeight="1">
      <c r="A154" s="47" t="s">
        <v>151</v>
      </c>
      <c r="B154" s="208" t="s">
        <v>0</v>
      </c>
      <c r="C154" s="208"/>
      <c r="D154" s="208"/>
      <c r="E154" s="208"/>
      <c r="F154" s="208" t="s">
        <v>164</v>
      </c>
      <c r="G154" s="208"/>
      <c r="H154" s="59" t="s">
        <v>186</v>
      </c>
      <c r="I154" s="59" t="s">
        <v>187</v>
      </c>
      <c r="J154" s="59" t="s">
        <v>188</v>
      </c>
      <c r="K154" s="51"/>
      <c r="L154" s="51"/>
      <c r="M154" s="51"/>
      <c r="N154" s="51"/>
      <c r="O154" s="52"/>
      <c r="P154" s="42"/>
      <c r="Q154" s="75"/>
    </row>
    <row r="155" spans="1:17" ht="18.75">
      <c r="A155" s="148">
        <v>1</v>
      </c>
      <c r="B155" s="176">
        <v>2</v>
      </c>
      <c r="C155" s="176"/>
      <c r="D155" s="176"/>
      <c r="E155" s="176"/>
      <c r="F155" s="176">
        <v>3</v>
      </c>
      <c r="G155" s="176"/>
      <c r="H155" s="148">
        <v>4</v>
      </c>
      <c r="I155" s="148">
        <v>5</v>
      </c>
      <c r="J155" s="148">
        <v>6</v>
      </c>
      <c r="K155" s="157"/>
      <c r="L155" s="157"/>
      <c r="M155" s="157"/>
      <c r="N155" s="157"/>
      <c r="O155" s="60"/>
      <c r="P155" s="43"/>
      <c r="Q155" s="75"/>
    </row>
    <row r="156" spans="1:18" ht="18.75">
      <c r="A156" s="47">
        <v>1</v>
      </c>
      <c r="B156" s="180" t="s">
        <v>234</v>
      </c>
      <c r="C156" s="180"/>
      <c r="D156" s="180"/>
      <c r="E156" s="180"/>
      <c r="F156" s="176">
        <v>310</v>
      </c>
      <c r="G156" s="176"/>
      <c r="H156" s="46">
        <v>3589</v>
      </c>
      <c r="I156" s="50">
        <f>J156/H156</f>
        <v>832.7432153803287</v>
      </c>
      <c r="J156" s="50">
        <f>706800+2253135.85+28779.55</f>
        <v>2988715.4</v>
      </c>
      <c r="K156" s="51"/>
      <c r="L156" s="51"/>
      <c r="M156" s="51"/>
      <c r="N156" s="51"/>
      <c r="O156" s="52"/>
      <c r="P156" s="42"/>
      <c r="Q156" s="75"/>
      <c r="R156" s="77"/>
    </row>
    <row r="157" spans="1:17" ht="18.75">
      <c r="A157" s="47"/>
      <c r="B157" s="173" t="s">
        <v>130</v>
      </c>
      <c r="C157" s="174"/>
      <c r="D157" s="174"/>
      <c r="E157" s="175"/>
      <c r="F157" s="210"/>
      <c r="G157" s="210"/>
      <c r="H157" s="47"/>
      <c r="I157" s="47" t="s">
        <v>7</v>
      </c>
      <c r="J157" s="149">
        <f>SUM(J156:J156)</f>
        <v>2988715.4</v>
      </c>
      <c r="K157" s="51"/>
      <c r="L157" s="103"/>
      <c r="M157" s="51"/>
      <c r="N157" s="51"/>
      <c r="O157" s="52"/>
      <c r="P157" s="45"/>
      <c r="Q157" s="75"/>
    </row>
    <row r="158" spans="1:17" ht="18.75">
      <c r="A158" s="54"/>
      <c r="B158" s="54"/>
      <c r="C158" s="54"/>
      <c r="D158" s="54"/>
      <c r="E158" s="54"/>
      <c r="F158" s="54"/>
      <c r="G158" s="122"/>
      <c r="H158" s="51"/>
      <c r="I158" s="51"/>
      <c r="J158" s="51"/>
      <c r="K158" s="51"/>
      <c r="L158" s="51"/>
      <c r="M158" s="51"/>
      <c r="N158" s="51"/>
      <c r="O158" s="52"/>
      <c r="P158" s="44"/>
      <c r="Q158" s="75"/>
    </row>
    <row r="159" spans="1:17" ht="18.75" hidden="1">
      <c r="A159" s="33"/>
      <c r="B159" s="51" t="s">
        <v>224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  <c r="P159" s="42"/>
      <c r="Q159" s="75"/>
    </row>
    <row r="160" spans="1:17" ht="18.75" hidden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  <c r="P160" s="42"/>
      <c r="Q160" s="75"/>
    </row>
    <row r="161" spans="1:17" ht="56.25" hidden="1">
      <c r="A161" s="47" t="s">
        <v>151</v>
      </c>
      <c r="B161" s="208" t="s">
        <v>0</v>
      </c>
      <c r="C161" s="208"/>
      <c r="D161" s="208"/>
      <c r="E161" s="208"/>
      <c r="F161" s="208" t="s">
        <v>164</v>
      </c>
      <c r="G161" s="208"/>
      <c r="H161" s="59" t="s">
        <v>186</v>
      </c>
      <c r="I161" s="59" t="s">
        <v>187</v>
      </c>
      <c r="J161" s="59" t="s">
        <v>188</v>
      </c>
      <c r="K161" s="51"/>
      <c r="L161" s="51"/>
      <c r="M161" s="51"/>
      <c r="N161" s="51"/>
      <c r="O161" s="52"/>
      <c r="P161" s="42"/>
      <c r="Q161" s="75"/>
    </row>
    <row r="162" spans="1:17" ht="18.75" hidden="1">
      <c r="A162" s="148">
        <v>1</v>
      </c>
      <c r="B162" s="176">
        <v>2</v>
      </c>
      <c r="C162" s="176"/>
      <c r="D162" s="176"/>
      <c r="E162" s="176"/>
      <c r="F162" s="176">
        <v>3</v>
      </c>
      <c r="G162" s="176"/>
      <c r="H162" s="148">
        <v>4</v>
      </c>
      <c r="I162" s="148">
        <v>5</v>
      </c>
      <c r="J162" s="148">
        <v>6</v>
      </c>
      <c r="K162" s="157"/>
      <c r="L162" s="157"/>
      <c r="M162" s="157"/>
      <c r="N162" s="157"/>
      <c r="O162" s="60"/>
      <c r="P162" s="43"/>
      <c r="Q162" s="75"/>
    </row>
    <row r="163" spans="1:17" ht="18.75" hidden="1">
      <c r="A163" s="47">
        <v>1</v>
      </c>
      <c r="B163" s="180"/>
      <c r="C163" s="180"/>
      <c r="D163" s="180"/>
      <c r="E163" s="180"/>
      <c r="F163" s="176">
        <v>346</v>
      </c>
      <c r="G163" s="176"/>
      <c r="H163" s="47"/>
      <c r="I163" s="50" t="e">
        <f>J163/H163</f>
        <v>#DIV/0!</v>
      </c>
      <c r="J163" s="50"/>
      <c r="K163" s="51"/>
      <c r="L163" s="51"/>
      <c r="M163" s="51"/>
      <c r="N163" s="51"/>
      <c r="O163" s="52"/>
      <c r="P163" s="42"/>
      <c r="Q163" s="75"/>
    </row>
    <row r="164" spans="1:17" ht="18.75" hidden="1">
      <c r="A164" s="47">
        <v>2</v>
      </c>
      <c r="B164" s="180"/>
      <c r="C164" s="180"/>
      <c r="D164" s="180"/>
      <c r="E164" s="180"/>
      <c r="F164" s="176">
        <v>346</v>
      </c>
      <c r="G164" s="176"/>
      <c r="H164" s="47"/>
      <c r="I164" s="50" t="e">
        <f>J164/H164</f>
        <v>#DIV/0!</v>
      </c>
      <c r="J164" s="50"/>
      <c r="K164" s="51"/>
      <c r="L164" s="51"/>
      <c r="M164" s="51"/>
      <c r="N164" s="51"/>
      <c r="O164" s="52"/>
      <c r="P164" s="42"/>
      <c r="Q164" s="75"/>
    </row>
    <row r="165" spans="1:17" ht="18.75" hidden="1">
      <c r="A165" s="47"/>
      <c r="B165" s="215" t="s">
        <v>130</v>
      </c>
      <c r="C165" s="215"/>
      <c r="D165" s="215"/>
      <c r="E165" s="215"/>
      <c r="F165" s="210"/>
      <c r="G165" s="210"/>
      <c r="H165" s="47"/>
      <c r="I165" s="47" t="s">
        <v>7</v>
      </c>
      <c r="J165" s="50">
        <f>SUM(J163:J164)</f>
        <v>0</v>
      </c>
      <c r="K165" s="51"/>
      <c r="L165" s="51"/>
      <c r="M165" s="51"/>
      <c r="N165" s="51"/>
      <c r="O165" s="52"/>
      <c r="P165" s="44"/>
      <c r="Q165" s="75"/>
    </row>
    <row r="166" spans="1:17" ht="18.75" hidden="1">
      <c r="A166" s="54"/>
      <c r="B166" s="115"/>
      <c r="C166" s="115"/>
      <c r="D166" s="115"/>
      <c r="E166" s="115"/>
      <c r="F166" s="60"/>
      <c r="G166" s="60"/>
      <c r="H166" s="54"/>
      <c r="I166" s="54"/>
      <c r="J166" s="61"/>
      <c r="K166" s="51"/>
      <c r="L166" s="51"/>
      <c r="M166" s="51"/>
      <c r="N166" s="51"/>
      <c r="O166" s="52"/>
      <c r="P166" s="44"/>
      <c r="Q166" s="75"/>
    </row>
    <row r="167" spans="1:18" ht="18.75">
      <c r="A167" s="51"/>
      <c r="B167" s="51" t="s">
        <v>387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2"/>
      <c r="P167" s="44"/>
      <c r="Q167" s="75"/>
      <c r="R167" s="77"/>
    </row>
    <row r="168" spans="1:17" ht="18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2"/>
      <c r="P168" s="44"/>
      <c r="Q168" s="75"/>
    </row>
    <row r="169" spans="1:18" ht="56.25" customHeight="1">
      <c r="A169" s="47" t="s">
        <v>151</v>
      </c>
      <c r="B169" s="208" t="s">
        <v>0</v>
      </c>
      <c r="C169" s="208"/>
      <c r="D169" s="208"/>
      <c r="E169" s="208" t="s">
        <v>164</v>
      </c>
      <c r="F169" s="208"/>
      <c r="G169" s="208" t="s">
        <v>186</v>
      </c>
      <c r="H169" s="208"/>
      <c r="I169" s="59" t="s">
        <v>187</v>
      </c>
      <c r="J169" s="59" t="s">
        <v>216</v>
      </c>
      <c r="K169" s="51"/>
      <c r="L169" s="51"/>
      <c r="M169" s="51"/>
      <c r="N169" s="51"/>
      <c r="O169" s="52"/>
      <c r="P169" s="44"/>
      <c r="Q169" s="75"/>
      <c r="R169" s="77"/>
    </row>
    <row r="170" spans="1:17" ht="18.75">
      <c r="A170" s="148">
        <v>1</v>
      </c>
      <c r="B170" s="176">
        <v>2</v>
      </c>
      <c r="C170" s="176"/>
      <c r="D170" s="176"/>
      <c r="E170" s="176">
        <v>3</v>
      </c>
      <c r="F170" s="176"/>
      <c r="G170" s="176">
        <v>4</v>
      </c>
      <c r="H170" s="176"/>
      <c r="I170" s="148">
        <v>5</v>
      </c>
      <c r="J170" s="148">
        <v>6</v>
      </c>
      <c r="K170" s="157"/>
      <c r="L170" s="51"/>
      <c r="M170" s="51"/>
      <c r="N170" s="51"/>
      <c r="O170" s="52"/>
      <c r="P170" s="44"/>
      <c r="Q170" s="75"/>
    </row>
    <row r="171" spans="1:17" ht="18.75" customHeight="1">
      <c r="A171" s="47">
        <v>1</v>
      </c>
      <c r="B171" s="182" t="s">
        <v>298</v>
      </c>
      <c r="C171" s="183"/>
      <c r="D171" s="184"/>
      <c r="E171" s="173">
        <v>346</v>
      </c>
      <c r="F171" s="175"/>
      <c r="G171" s="173">
        <v>44</v>
      </c>
      <c r="H171" s="175"/>
      <c r="I171" s="50">
        <f>J171/G171</f>
        <v>198.63636363636363</v>
      </c>
      <c r="J171" s="50">
        <f>5000+3740</f>
        <v>8740</v>
      </c>
      <c r="K171" s="51"/>
      <c r="L171" s="51"/>
      <c r="M171" s="51"/>
      <c r="N171" s="51"/>
      <c r="O171" s="52"/>
      <c r="P171" s="44"/>
      <c r="Q171" s="75"/>
    </row>
    <row r="172" spans="1:17" ht="18.75" customHeight="1">
      <c r="A172" s="47">
        <v>2</v>
      </c>
      <c r="B172" s="182" t="s">
        <v>265</v>
      </c>
      <c r="C172" s="183"/>
      <c r="D172" s="184"/>
      <c r="E172" s="173">
        <v>346</v>
      </c>
      <c r="F172" s="175"/>
      <c r="G172" s="173">
        <v>0</v>
      </c>
      <c r="H172" s="175"/>
      <c r="I172" s="50" t="e">
        <f>J172/G172</f>
        <v>#DIV/0!</v>
      </c>
      <c r="J172" s="50">
        <f>13670+3875-17545</f>
        <v>0</v>
      </c>
      <c r="K172" s="51"/>
      <c r="L172" s="51"/>
      <c r="M172" s="51"/>
      <c r="N172" s="51"/>
      <c r="O172" s="52"/>
      <c r="P172" s="44"/>
      <c r="Q172" s="75"/>
    </row>
    <row r="173" spans="1:17" ht="18.75">
      <c r="A173" s="47"/>
      <c r="B173" s="173" t="s">
        <v>130</v>
      </c>
      <c r="C173" s="174"/>
      <c r="D173" s="175"/>
      <c r="E173" s="176"/>
      <c r="F173" s="176"/>
      <c r="G173" s="176"/>
      <c r="H173" s="176"/>
      <c r="I173" s="47" t="s">
        <v>7</v>
      </c>
      <c r="J173" s="50">
        <f>SUM(J171:J172)</f>
        <v>8740</v>
      </c>
      <c r="K173" s="51"/>
      <c r="L173" s="51"/>
      <c r="M173" s="51"/>
      <c r="N173" s="51"/>
      <c r="O173" s="52"/>
      <c r="P173" s="44"/>
      <c r="Q173" s="75"/>
    </row>
    <row r="174" spans="1:17" ht="18.75">
      <c r="A174" s="54"/>
      <c r="B174" s="115"/>
      <c r="C174" s="115"/>
      <c r="D174" s="115"/>
      <c r="E174" s="115"/>
      <c r="F174" s="60"/>
      <c r="G174" s="60"/>
      <c r="H174" s="54"/>
      <c r="I174" s="54"/>
      <c r="J174" s="61"/>
      <c r="K174" s="51"/>
      <c r="L174" s="51"/>
      <c r="M174" s="51"/>
      <c r="N174" s="51"/>
      <c r="O174" s="52"/>
      <c r="P174" s="44"/>
      <c r="Q174" s="75"/>
    </row>
    <row r="175" spans="1:17" ht="18.75">
      <c r="A175" s="51"/>
      <c r="B175" s="51" t="s">
        <v>388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2"/>
      <c r="P175" s="44"/>
      <c r="Q175" s="75"/>
    </row>
    <row r="176" spans="1:17" ht="18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2"/>
      <c r="P176" s="44"/>
      <c r="Q176" s="75"/>
    </row>
    <row r="177" spans="1:17" ht="56.25">
      <c r="A177" s="47" t="s">
        <v>151</v>
      </c>
      <c r="B177" s="208" t="s">
        <v>0</v>
      </c>
      <c r="C177" s="208"/>
      <c r="D177" s="208"/>
      <c r="E177" s="208" t="s">
        <v>164</v>
      </c>
      <c r="F177" s="208"/>
      <c r="G177" s="208" t="s">
        <v>186</v>
      </c>
      <c r="H177" s="208"/>
      <c r="I177" s="59" t="s">
        <v>187</v>
      </c>
      <c r="J177" s="59" t="s">
        <v>216</v>
      </c>
      <c r="K177" s="51"/>
      <c r="L177" s="51"/>
      <c r="M177" s="51"/>
      <c r="N177" s="51"/>
      <c r="O177" s="52"/>
      <c r="P177" s="44"/>
      <c r="Q177" s="75"/>
    </row>
    <row r="178" spans="1:17" ht="18.75">
      <c r="A178" s="148">
        <v>1</v>
      </c>
      <c r="B178" s="176">
        <v>2</v>
      </c>
      <c r="C178" s="176"/>
      <c r="D178" s="176"/>
      <c r="E178" s="176">
        <v>3</v>
      </c>
      <c r="F178" s="176"/>
      <c r="G178" s="176">
        <v>4</v>
      </c>
      <c r="H178" s="176"/>
      <c r="I178" s="148">
        <v>5</v>
      </c>
      <c r="J178" s="148">
        <v>6</v>
      </c>
      <c r="K178" s="157"/>
      <c r="L178" s="51"/>
      <c r="M178" s="51"/>
      <c r="N178" s="51"/>
      <c r="O178" s="52"/>
      <c r="P178" s="44"/>
      <c r="Q178" s="75"/>
    </row>
    <row r="179" spans="1:17" ht="18.75">
      <c r="A179" s="47">
        <v>1</v>
      </c>
      <c r="B179" s="180" t="s">
        <v>295</v>
      </c>
      <c r="C179" s="180"/>
      <c r="D179" s="180"/>
      <c r="E179" s="176">
        <v>349</v>
      </c>
      <c r="F179" s="176"/>
      <c r="G179" s="176">
        <v>300</v>
      </c>
      <c r="H179" s="176"/>
      <c r="I179" s="50">
        <f>J179/G179</f>
        <v>153.80166666666668</v>
      </c>
      <c r="J179" s="50">
        <f>30000-12096+28236.5</f>
        <v>46140.5</v>
      </c>
      <c r="K179" s="51"/>
      <c r="L179" s="51"/>
      <c r="M179" s="51"/>
      <c r="N179" s="51"/>
      <c r="O179" s="52"/>
      <c r="P179" s="44"/>
      <c r="Q179" s="75"/>
    </row>
    <row r="180" spans="1:17" ht="18.75">
      <c r="A180" s="47"/>
      <c r="B180" s="173" t="s">
        <v>130</v>
      </c>
      <c r="C180" s="174"/>
      <c r="D180" s="175"/>
      <c r="E180" s="176"/>
      <c r="F180" s="176"/>
      <c r="G180" s="176"/>
      <c r="H180" s="176"/>
      <c r="I180" s="47" t="s">
        <v>7</v>
      </c>
      <c r="J180" s="50">
        <f>SUM(J179:J179)</f>
        <v>46140.5</v>
      </c>
      <c r="K180" s="51"/>
      <c r="L180" s="51"/>
      <c r="M180" s="51"/>
      <c r="N180" s="51"/>
      <c r="O180" s="52"/>
      <c r="P180" s="44"/>
      <c r="Q180" s="75"/>
    </row>
    <row r="181" spans="1:17" ht="18.75">
      <c r="A181" s="54"/>
      <c r="B181" s="115"/>
      <c r="C181" s="115"/>
      <c r="D181" s="115"/>
      <c r="E181" s="115"/>
      <c r="F181" s="60"/>
      <c r="G181" s="60"/>
      <c r="H181" s="54"/>
      <c r="I181" s="54"/>
      <c r="J181" s="61"/>
      <c r="K181" s="51"/>
      <c r="L181" s="51"/>
      <c r="M181" s="51"/>
      <c r="N181" s="51"/>
      <c r="O181" s="52"/>
      <c r="P181" s="44"/>
      <c r="Q181" s="75"/>
    </row>
    <row r="182" spans="1:17" ht="18.75">
      <c r="A182" s="51"/>
      <c r="B182" s="51" t="s">
        <v>252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2"/>
      <c r="P182" s="42"/>
      <c r="Q182" s="75"/>
    </row>
    <row r="183" spans="1:17" ht="18.75">
      <c r="A183" s="51"/>
      <c r="B183" s="51" t="s">
        <v>148</v>
      </c>
      <c r="C183" s="81"/>
      <c r="D183" s="110">
        <v>100</v>
      </c>
      <c r="E183" s="110"/>
      <c r="F183" s="110"/>
      <c r="G183" s="110"/>
      <c r="H183" s="54"/>
      <c r="I183" s="51"/>
      <c r="J183" s="51"/>
      <c r="K183" s="51"/>
      <c r="L183" s="51"/>
      <c r="M183" s="51"/>
      <c r="N183" s="51"/>
      <c r="O183" s="52"/>
      <c r="P183" s="42"/>
      <c r="Q183" s="75"/>
    </row>
    <row r="184" spans="1:17" ht="18.75">
      <c r="A184" s="51"/>
      <c r="B184" s="51" t="s">
        <v>149</v>
      </c>
      <c r="C184" s="51"/>
      <c r="D184" s="81"/>
      <c r="E184" s="81"/>
      <c r="F184" s="112" t="s">
        <v>150</v>
      </c>
      <c r="G184" s="112"/>
      <c r="H184" s="112"/>
      <c r="I184" s="112"/>
      <c r="J184" s="54"/>
      <c r="K184" s="51"/>
      <c r="L184" s="51"/>
      <c r="M184" s="51"/>
      <c r="N184" s="51"/>
      <c r="O184" s="52"/>
      <c r="P184" s="42"/>
      <c r="Q184" s="75"/>
    </row>
    <row r="185" spans="1:17" ht="18.75">
      <c r="A185" s="51"/>
      <c r="B185" s="51"/>
      <c r="C185" s="51"/>
      <c r="D185" s="54"/>
      <c r="E185" s="54"/>
      <c r="F185" s="54"/>
      <c r="G185" s="54"/>
      <c r="H185" s="54"/>
      <c r="I185" s="51"/>
      <c r="J185" s="51"/>
      <c r="K185" s="51"/>
      <c r="L185" s="51"/>
      <c r="M185" s="51"/>
      <c r="N185" s="51"/>
      <c r="O185" s="52"/>
      <c r="P185" s="42"/>
      <c r="Q185" s="75"/>
    </row>
    <row r="186" spans="1:17" ht="18.75">
      <c r="A186" s="51"/>
      <c r="B186" s="51" t="s">
        <v>497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2"/>
      <c r="P186" s="42"/>
      <c r="Q186" s="75"/>
    </row>
    <row r="187" spans="1:17" ht="18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2"/>
      <c r="P187" s="42"/>
      <c r="Q187" s="75"/>
    </row>
    <row r="188" spans="1:17" ht="56.25" customHeight="1">
      <c r="A188" s="47" t="s">
        <v>151</v>
      </c>
      <c r="B188" s="192" t="s">
        <v>152</v>
      </c>
      <c r="C188" s="193"/>
      <c r="D188" s="193"/>
      <c r="E188" s="194"/>
      <c r="F188" s="208" t="s">
        <v>153</v>
      </c>
      <c r="G188" s="208"/>
      <c r="H188" s="59" t="s">
        <v>154</v>
      </c>
      <c r="I188" s="59" t="s">
        <v>155</v>
      </c>
      <c r="J188" s="208" t="s">
        <v>156</v>
      </c>
      <c r="K188" s="208"/>
      <c r="L188" s="51"/>
      <c r="M188" s="51"/>
      <c r="N188" s="51"/>
      <c r="O188" s="125"/>
      <c r="P188" s="48"/>
      <c r="Q188" s="75"/>
    </row>
    <row r="189" spans="1:18" ht="21" customHeight="1">
      <c r="A189" s="148">
        <v>1</v>
      </c>
      <c r="B189" s="201">
        <v>2</v>
      </c>
      <c r="C189" s="211"/>
      <c r="D189" s="211"/>
      <c r="E189" s="202"/>
      <c r="F189" s="201">
        <v>3</v>
      </c>
      <c r="G189" s="202"/>
      <c r="H189" s="152">
        <v>4</v>
      </c>
      <c r="I189" s="94">
        <v>5</v>
      </c>
      <c r="J189" s="201">
        <v>6</v>
      </c>
      <c r="K189" s="202"/>
      <c r="L189" s="51"/>
      <c r="M189" s="51"/>
      <c r="N189" s="51"/>
      <c r="O189" s="125"/>
      <c r="P189" s="48"/>
      <c r="Q189" s="75"/>
      <c r="R189" s="8"/>
    </row>
    <row r="190" spans="1:18" ht="18.75">
      <c r="A190" s="230">
        <v>1</v>
      </c>
      <c r="B190" s="232" t="s">
        <v>157</v>
      </c>
      <c r="C190" s="233"/>
      <c r="D190" s="233"/>
      <c r="E190" s="234"/>
      <c r="F190" s="176">
        <v>211</v>
      </c>
      <c r="G190" s="176"/>
      <c r="H190" s="238">
        <f>J192/I190</f>
        <v>49094.29666666667</v>
      </c>
      <c r="I190" s="240">
        <v>12</v>
      </c>
      <c r="J190" s="197">
        <f>550044-J191+39087.56</f>
        <v>584131.56</v>
      </c>
      <c r="K190" s="197"/>
      <c r="L190" s="51"/>
      <c r="M190" s="51"/>
      <c r="N190" s="51"/>
      <c r="O190" s="52"/>
      <c r="P190" s="42"/>
      <c r="Q190" s="75"/>
      <c r="R190" s="77"/>
    </row>
    <row r="191" spans="1:17" ht="18.75">
      <c r="A191" s="231"/>
      <c r="B191" s="235"/>
      <c r="C191" s="236"/>
      <c r="D191" s="236"/>
      <c r="E191" s="237"/>
      <c r="F191" s="173">
        <v>266</v>
      </c>
      <c r="G191" s="175"/>
      <c r="H191" s="239"/>
      <c r="I191" s="241"/>
      <c r="J191" s="203">
        <v>5000</v>
      </c>
      <c r="K191" s="204"/>
      <c r="L191" s="51"/>
      <c r="M191" s="51"/>
      <c r="N191" s="51"/>
      <c r="O191" s="52"/>
      <c r="P191" s="42"/>
      <c r="Q191" s="75"/>
    </row>
    <row r="192" spans="1:17" ht="18.75">
      <c r="A192" s="47"/>
      <c r="B192" s="173" t="s">
        <v>130</v>
      </c>
      <c r="C192" s="174"/>
      <c r="D192" s="174"/>
      <c r="E192" s="175"/>
      <c r="F192" s="210"/>
      <c r="G192" s="210"/>
      <c r="H192" s="96" t="s">
        <v>158</v>
      </c>
      <c r="I192" s="97"/>
      <c r="J192" s="197">
        <f>J190+J191</f>
        <v>589131.56</v>
      </c>
      <c r="K192" s="197"/>
      <c r="L192" s="51"/>
      <c r="M192" s="51"/>
      <c r="N192" s="51"/>
      <c r="O192" s="52"/>
      <c r="P192" s="44"/>
      <c r="Q192" s="75"/>
    </row>
    <row r="193" spans="1:17" ht="18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2"/>
      <c r="P193" s="42"/>
      <c r="Q193" s="75"/>
    </row>
    <row r="194" spans="1:17" ht="18.75" hidden="1">
      <c r="A194" s="51"/>
      <c r="B194" s="51" t="s">
        <v>225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  <c r="P194" s="42"/>
      <c r="Q194" s="75"/>
    </row>
    <row r="195" spans="1:17" ht="18.75" hidden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2"/>
      <c r="P195" s="42"/>
      <c r="Q195" s="75"/>
    </row>
    <row r="196" spans="1:17" ht="56.25" hidden="1">
      <c r="A196" s="47" t="s">
        <v>151</v>
      </c>
      <c r="B196" s="187" t="s">
        <v>152</v>
      </c>
      <c r="C196" s="187"/>
      <c r="D196" s="187"/>
      <c r="E196" s="187"/>
      <c r="F196" s="208" t="s">
        <v>153</v>
      </c>
      <c r="G196" s="208"/>
      <c r="H196" s="180" t="s">
        <v>159</v>
      </c>
      <c r="I196" s="180"/>
      <c r="J196" s="118" t="s">
        <v>160</v>
      </c>
      <c r="K196" s="152" t="s">
        <v>161</v>
      </c>
      <c r="L196" s="147" t="s">
        <v>162</v>
      </c>
      <c r="M196" s="51"/>
      <c r="N196" s="51"/>
      <c r="O196" s="52"/>
      <c r="P196" s="42"/>
      <c r="Q196" s="75"/>
    </row>
    <row r="197" spans="1:17" ht="18.75" hidden="1">
      <c r="A197" s="148">
        <v>1</v>
      </c>
      <c r="B197" s="192">
        <v>2</v>
      </c>
      <c r="C197" s="193"/>
      <c r="D197" s="193"/>
      <c r="E197" s="194"/>
      <c r="F197" s="201">
        <v>3</v>
      </c>
      <c r="G197" s="202"/>
      <c r="H197" s="201">
        <v>4</v>
      </c>
      <c r="I197" s="202"/>
      <c r="J197" s="152">
        <v>5</v>
      </c>
      <c r="K197" s="152">
        <v>6</v>
      </c>
      <c r="L197" s="148">
        <v>7</v>
      </c>
      <c r="M197" s="157"/>
      <c r="N197" s="157"/>
      <c r="O197" s="60"/>
      <c r="P197" s="43"/>
      <c r="Q197" s="75"/>
    </row>
    <row r="198" spans="1:17" ht="18.75" hidden="1">
      <c r="A198" s="47">
        <v>1</v>
      </c>
      <c r="B198" s="215"/>
      <c r="C198" s="215"/>
      <c r="D198" s="215"/>
      <c r="E198" s="215"/>
      <c r="F198" s="176">
        <v>212</v>
      </c>
      <c r="G198" s="176"/>
      <c r="H198" s="203">
        <f>K198/J198</f>
        <v>0</v>
      </c>
      <c r="I198" s="204"/>
      <c r="J198" s="119">
        <v>12</v>
      </c>
      <c r="K198" s="155"/>
      <c r="L198" s="155"/>
      <c r="M198" s="51"/>
      <c r="N198" s="51"/>
      <c r="O198" s="52"/>
      <c r="P198" s="42"/>
      <c r="Q198" s="75"/>
    </row>
    <row r="199" spans="1:17" ht="18.75" hidden="1">
      <c r="A199" s="47"/>
      <c r="B199" s="215" t="s">
        <v>130</v>
      </c>
      <c r="C199" s="215"/>
      <c r="D199" s="215"/>
      <c r="E199" s="215"/>
      <c r="F199" s="176"/>
      <c r="G199" s="176"/>
      <c r="H199" s="215" t="s">
        <v>7</v>
      </c>
      <c r="I199" s="215"/>
      <c r="J199" s="97" t="s">
        <v>7</v>
      </c>
      <c r="K199" s="155" t="s">
        <v>7</v>
      </c>
      <c r="L199" s="155"/>
      <c r="M199" s="51"/>
      <c r="N199" s="51"/>
      <c r="O199" s="52"/>
      <c r="P199" s="44"/>
      <c r="Q199" s="75"/>
    </row>
    <row r="200" spans="1:17" ht="18.75" hidden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2"/>
      <c r="P200" s="42"/>
      <c r="Q200" s="75"/>
    </row>
    <row r="201" spans="1:17" ht="18.75" hidden="1">
      <c r="A201" s="51"/>
      <c r="B201" s="51" t="s">
        <v>226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2"/>
      <c r="P201" s="42"/>
      <c r="Q201" s="75"/>
    </row>
    <row r="202" spans="1:17" ht="18.75" hidden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2"/>
      <c r="P202" s="42"/>
      <c r="Q202" s="75"/>
    </row>
    <row r="203" spans="1:17" ht="37.5" hidden="1">
      <c r="A203" s="47" t="s">
        <v>151</v>
      </c>
      <c r="B203" s="208" t="s">
        <v>0</v>
      </c>
      <c r="C203" s="208"/>
      <c r="D203" s="208"/>
      <c r="E203" s="208"/>
      <c r="F203" s="208" t="s">
        <v>164</v>
      </c>
      <c r="G203" s="208"/>
      <c r="H203" s="208" t="s">
        <v>185</v>
      </c>
      <c r="I203" s="208"/>
      <c r="J203" s="59" t="s">
        <v>169</v>
      </c>
      <c r="K203" s="51"/>
      <c r="L203" s="51"/>
      <c r="M203" s="51"/>
      <c r="N203" s="51"/>
      <c r="O203" s="52"/>
      <c r="P203" s="42"/>
      <c r="Q203" s="75"/>
    </row>
    <row r="204" spans="1:17" ht="18.75" hidden="1">
      <c r="A204" s="148">
        <v>1</v>
      </c>
      <c r="B204" s="176">
        <v>2</v>
      </c>
      <c r="C204" s="176"/>
      <c r="D204" s="176"/>
      <c r="E204" s="176"/>
      <c r="F204" s="176">
        <v>3</v>
      </c>
      <c r="G204" s="176"/>
      <c r="H204" s="176">
        <v>4</v>
      </c>
      <c r="I204" s="176"/>
      <c r="J204" s="148">
        <v>5</v>
      </c>
      <c r="K204" s="157"/>
      <c r="L204" s="157"/>
      <c r="M204" s="157"/>
      <c r="N204" s="157"/>
      <c r="O204" s="60"/>
      <c r="P204" s="43"/>
      <c r="Q204" s="75"/>
    </row>
    <row r="205" spans="1:17" ht="18.75" hidden="1">
      <c r="A205" s="47">
        <v>1</v>
      </c>
      <c r="B205" s="229" t="s">
        <v>170</v>
      </c>
      <c r="C205" s="229"/>
      <c r="D205" s="229"/>
      <c r="E205" s="229"/>
      <c r="F205" s="176">
        <v>266</v>
      </c>
      <c r="G205" s="176"/>
      <c r="H205" s="176">
        <v>1</v>
      </c>
      <c r="I205" s="176"/>
      <c r="J205" s="50">
        <f>P205</f>
        <v>0</v>
      </c>
      <c r="K205" s="51"/>
      <c r="L205" s="51"/>
      <c r="M205" s="51"/>
      <c r="N205" s="51"/>
      <c r="O205" s="52"/>
      <c r="P205" s="42"/>
      <c r="Q205" s="75"/>
    </row>
    <row r="206" spans="1:17" ht="18.75" hidden="1">
      <c r="A206" s="47">
        <v>2</v>
      </c>
      <c r="B206" s="229" t="s">
        <v>171</v>
      </c>
      <c r="C206" s="229"/>
      <c r="D206" s="229"/>
      <c r="E206" s="229"/>
      <c r="F206" s="176">
        <v>266</v>
      </c>
      <c r="G206" s="176"/>
      <c r="H206" s="176">
        <v>1</v>
      </c>
      <c r="I206" s="176"/>
      <c r="J206" s="50">
        <f>P206</f>
        <v>0</v>
      </c>
      <c r="K206" s="51"/>
      <c r="L206" s="51"/>
      <c r="M206" s="51"/>
      <c r="N206" s="51"/>
      <c r="O206" s="52"/>
      <c r="P206" s="42"/>
      <c r="Q206" s="75"/>
    </row>
    <row r="207" spans="1:17" ht="18.75" hidden="1">
      <c r="A207" s="47"/>
      <c r="B207" s="176" t="s">
        <v>130</v>
      </c>
      <c r="C207" s="176"/>
      <c r="D207" s="176"/>
      <c r="E207" s="176"/>
      <c r="F207" s="210"/>
      <c r="G207" s="210"/>
      <c r="H207" s="176" t="s">
        <v>7</v>
      </c>
      <c r="I207" s="176"/>
      <c r="J207" s="50">
        <f>SUM(J205:J206)</f>
        <v>0</v>
      </c>
      <c r="K207" s="51"/>
      <c r="L207" s="51"/>
      <c r="M207" s="51"/>
      <c r="N207" s="51"/>
      <c r="O207" s="52"/>
      <c r="P207" s="44"/>
      <c r="Q207" s="75"/>
    </row>
    <row r="208" spans="1:17" ht="18.75" hidden="1">
      <c r="A208" s="54"/>
      <c r="B208" s="54"/>
      <c r="C208" s="54"/>
      <c r="D208" s="54"/>
      <c r="E208" s="61"/>
      <c r="F208" s="54"/>
      <c r="G208" s="51"/>
      <c r="H208" s="51"/>
      <c r="I208" s="51"/>
      <c r="J208" s="51"/>
      <c r="K208" s="51"/>
      <c r="L208" s="51"/>
      <c r="M208" s="51"/>
      <c r="N208" s="51"/>
      <c r="O208" s="52"/>
      <c r="P208" s="42"/>
      <c r="Q208" s="75"/>
    </row>
    <row r="209" spans="1:17" ht="18.75" hidden="1">
      <c r="A209" s="51"/>
      <c r="B209" s="51" t="s">
        <v>227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2"/>
      <c r="P209" s="42"/>
      <c r="Q209" s="75"/>
    </row>
    <row r="210" spans="1:17" ht="18.75" hidden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2"/>
      <c r="P210" s="42"/>
      <c r="Q210" s="75"/>
    </row>
    <row r="211" spans="1:17" ht="75" hidden="1">
      <c r="A211" s="47" t="s">
        <v>151</v>
      </c>
      <c r="B211" s="208" t="s">
        <v>0</v>
      </c>
      <c r="C211" s="208"/>
      <c r="D211" s="208"/>
      <c r="E211" s="208"/>
      <c r="F211" s="208" t="s">
        <v>164</v>
      </c>
      <c r="G211" s="208"/>
      <c r="H211" s="187" t="s">
        <v>172</v>
      </c>
      <c r="I211" s="187"/>
      <c r="J211" s="151" t="s">
        <v>173</v>
      </c>
      <c r="K211" s="151" t="s">
        <v>189</v>
      </c>
      <c r="L211" s="151" t="s">
        <v>174</v>
      </c>
      <c r="M211" s="51"/>
      <c r="N211" s="51"/>
      <c r="O211" s="52"/>
      <c r="P211" s="42"/>
      <c r="Q211" s="75"/>
    </row>
    <row r="212" spans="1:17" ht="18.75" hidden="1">
      <c r="A212" s="148">
        <v>1</v>
      </c>
      <c r="B212" s="176">
        <v>2</v>
      </c>
      <c r="C212" s="176"/>
      <c r="D212" s="176"/>
      <c r="E212" s="176"/>
      <c r="F212" s="176">
        <v>3</v>
      </c>
      <c r="G212" s="176"/>
      <c r="H212" s="176">
        <v>4</v>
      </c>
      <c r="I212" s="176"/>
      <c r="J212" s="148">
        <v>5</v>
      </c>
      <c r="K212" s="148">
        <v>6</v>
      </c>
      <c r="L212" s="148">
        <v>7</v>
      </c>
      <c r="M212" s="157"/>
      <c r="N212" s="157"/>
      <c r="O212" s="60"/>
      <c r="P212" s="43"/>
      <c r="Q212" s="75"/>
    </row>
    <row r="213" spans="1:17" ht="18.75" hidden="1">
      <c r="A213" s="47">
        <v>1</v>
      </c>
      <c r="B213" s="229" t="s">
        <v>175</v>
      </c>
      <c r="C213" s="229"/>
      <c r="D213" s="229"/>
      <c r="E213" s="229"/>
      <c r="F213" s="176">
        <v>266</v>
      </c>
      <c r="G213" s="176"/>
      <c r="H213" s="176">
        <v>1</v>
      </c>
      <c r="I213" s="176"/>
      <c r="J213" s="47">
        <v>12</v>
      </c>
      <c r="K213" s="47">
        <v>50</v>
      </c>
      <c r="L213" s="121"/>
      <c r="M213" s="51"/>
      <c r="N213" s="51"/>
      <c r="O213" s="52"/>
      <c r="P213" s="42"/>
      <c r="Q213" s="75"/>
    </row>
    <row r="214" spans="1:17" ht="18.75" hidden="1">
      <c r="A214" s="47"/>
      <c r="B214" s="176" t="s">
        <v>130</v>
      </c>
      <c r="C214" s="176"/>
      <c r="D214" s="176"/>
      <c r="E214" s="176"/>
      <c r="F214" s="176"/>
      <c r="G214" s="176"/>
      <c r="H214" s="176" t="s">
        <v>168</v>
      </c>
      <c r="I214" s="176"/>
      <c r="J214" s="47" t="s">
        <v>168</v>
      </c>
      <c r="K214" s="47" t="s">
        <v>168</v>
      </c>
      <c r="L214" s="121">
        <f>L213</f>
        <v>0</v>
      </c>
      <c r="M214" s="51"/>
      <c r="N214" s="51"/>
      <c r="O214" s="52"/>
      <c r="P214" s="44"/>
      <c r="Q214" s="75"/>
    </row>
    <row r="215" spans="1:17" ht="18.75" hidden="1">
      <c r="A215" s="54"/>
      <c r="B215" s="54"/>
      <c r="C215" s="54"/>
      <c r="D215" s="54"/>
      <c r="E215" s="61"/>
      <c r="F215" s="54"/>
      <c r="G215" s="51"/>
      <c r="H215" s="51"/>
      <c r="I215" s="51"/>
      <c r="J215" s="51"/>
      <c r="K215" s="51"/>
      <c r="L215" s="51"/>
      <c r="M215" s="51"/>
      <c r="N215" s="51"/>
      <c r="O215" s="52"/>
      <c r="P215" s="42"/>
      <c r="Q215" s="75"/>
    </row>
    <row r="216" spans="1:17" ht="18.75">
      <c r="A216" s="51"/>
      <c r="B216" s="51" t="s">
        <v>498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2"/>
      <c r="P216" s="42"/>
      <c r="Q216" s="75"/>
    </row>
    <row r="217" spans="1:17" ht="18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2"/>
      <c r="P217" s="42"/>
      <c r="Q217" s="75"/>
    </row>
    <row r="218" spans="1:17" s="142" customFormat="1" ht="93.75">
      <c r="A218" s="158" t="s">
        <v>151</v>
      </c>
      <c r="B218" s="209" t="s">
        <v>163</v>
      </c>
      <c r="C218" s="209"/>
      <c r="D218" s="209"/>
      <c r="E218" s="209"/>
      <c r="F218" s="187" t="s">
        <v>164</v>
      </c>
      <c r="G218" s="187"/>
      <c r="H218" s="151" t="s">
        <v>165</v>
      </c>
      <c r="I218" s="187" t="s">
        <v>166</v>
      </c>
      <c r="J218" s="187"/>
      <c r="K218" s="92"/>
      <c r="L218" s="92"/>
      <c r="M218" s="92"/>
      <c r="N218" s="92"/>
      <c r="O218" s="93"/>
      <c r="P218" s="138"/>
      <c r="Q218" s="141"/>
    </row>
    <row r="219" spans="1:18" ht="18.75">
      <c r="A219" s="148">
        <v>1</v>
      </c>
      <c r="B219" s="176">
        <v>2</v>
      </c>
      <c r="C219" s="176"/>
      <c r="D219" s="176"/>
      <c r="E219" s="176"/>
      <c r="F219" s="176">
        <v>3</v>
      </c>
      <c r="G219" s="176"/>
      <c r="H219" s="148">
        <v>4</v>
      </c>
      <c r="I219" s="176">
        <v>5</v>
      </c>
      <c r="J219" s="176"/>
      <c r="K219" s="51"/>
      <c r="L219" s="51"/>
      <c r="M219" s="51"/>
      <c r="N219" s="51"/>
      <c r="O219" s="52"/>
      <c r="P219" s="42"/>
      <c r="Q219" s="75"/>
      <c r="R219" s="8"/>
    </row>
    <row r="220" spans="1:19" ht="18.75" customHeight="1">
      <c r="A220" s="47">
        <v>1</v>
      </c>
      <c r="B220" s="167" t="s">
        <v>167</v>
      </c>
      <c r="C220" s="168"/>
      <c r="D220" s="168"/>
      <c r="E220" s="169"/>
      <c r="F220" s="176">
        <v>213</v>
      </c>
      <c r="G220" s="176"/>
      <c r="H220" s="98">
        <v>30.2</v>
      </c>
      <c r="I220" s="197">
        <f>166114+11804.44</f>
        <v>177918.44</v>
      </c>
      <c r="J220" s="197"/>
      <c r="K220" s="51"/>
      <c r="L220" s="51"/>
      <c r="M220" s="51"/>
      <c r="N220" s="51"/>
      <c r="O220" s="52"/>
      <c r="P220" s="42"/>
      <c r="Q220" s="75"/>
      <c r="R220" s="77"/>
      <c r="S220" s="77"/>
    </row>
    <row r="221" spans="1:17" ht="18.75">
      <c r="A221" s="47"/>
      <c r="B221" s="176" t="s">
        <v>130</v>
      </c>
      <c r="C221" s="176"/>
      <c r="D221" s="176"/>
      <c r="E221" s="176"/>
      <c r="F221" s="176"/>
      <c r="G221" s="176"/>
      <c r="H221" s="47" t="s">
        <v>168</v>
      </c>
      <c r="I221" s="197">
        <f>SUM(I220:I220)</f>
        <v>177918.44</v>
      </c>
      <c r="J221" s="197"/>
      <c r="K221" s="51"/>
      <c r="L221" s="51"/>
      <c r="M221" s="51"/>
      <c r="N221" s="51"/>
      <c r="O221" s="52"/>
      <c r="P221" s="44"/>
      <c r="Q221" s="75"/>
    </row>
    <row r="222" spans="1:17" ht="18.75">
      <c r="A222" s="54"/>
      <c r="B222" s="53"/>
      <c r="C222" s="53"/>
      <c r="D222" s="53"/>
      <c r="E222" s="53"/>
      <c r="F222" s="53"/>
      <c r="G222" s="53"/>
      <c r="H222" s="54"/>
      <c r="I222" s="116"/>
      <c r="J222" s="116"/>
      <c r="K222" s="51"/>
      <c r="L222" s="51"/>
      <c r="M222" s="51"/>
      <c r="N222" s="51"/>
      <c r="O222" s="52"/>
      <c r="P222" s="44"/>
      <c r="Q222" s="75"/>
    </row>
    <row r="223" spans="1:17" ht="18.75">
      <c r="A223" s="51"/>
      <c r="B223" s="51" t="s">
        <v>332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2"/>
      <c r="P223" s="44"/>
      <c r="Q223" s="75"/>
    </row>
    <row r="224" spans="1:17" ht="18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2"/>
      <c r="P224" s="44"/>
      <c r="Q224" s="75"/>
    </row>
    <row r="225" spans="1:17" ht="18.75">
      <c r="A225" s="33"/>
      <c r="B225" s="51" t="s">
        <v>176</v>
      </c>
      <c r="C225" s="33"/>
      <c r="D225" s="110">
        <v>247</v>
      </c>
      <c r="E225" s="110"/>
      <c r="F225" s="54"/>
      <c r="G225" s="51"/>
      <c r="H225" s="51"/>
      <c r="I225" s="51"/>
      <c r="J225" s="51"/>
      <c r="K225" s="51"/>
      <c r="L225" s="51"/>
      <c r="M225" s="51"/>
      <c r="N225" s="51"/>
      <c r="O225" s="52"/>
      <c r="P225" s="44"/>
      <c r="Q225" s="75"/>
    </row>
    <row r="226" spans="1:17" ht="18.75">
      <c r="A226" s="33"/>
      <c r="B226" s="51" t="s">
        <v>177</v>
      </c>
      <c r="C226" s="81"/>
      <c r="D226" s="81"/>
      <c r="E226" s="110" t="s">
        <v>150</v>
      </c>
      <c r="F226" s="110"/>
      <c r="G226" s="110"/>
      <c r="H226" s="110"/>
      <c r="I226" s="110"/>
      <c r="J226" s="110"/>
      <c r="K226" s="51"/>
      <c r="L226" s="51"/>
      <c r="M226" s="51"/>
      <c r="N226" s="51"/>
      <c r="O226" s="52"/>
      <c r="P226" s="44"/>
      <c r="Q226" s="75"/>
    </row>
    <row r="227" spans="1:17" ht="18.75">
      <c r="A227" s="54"/>
      <c r="B227" s="53"/>
      <c r="C227" s="53"/>
      <c r="D227" s="53"/>
      <c r="E227" s="53"/>
      <c r="F227" s="53"/>
      <c r="G227" s="53"/>
      <c r="H227" s="54"/>
      <c r="I227" s="116"/>
      <c r="J227" s="116"/>
      <c r="K227" s="51"/>
      <c r="L227" s="51"/>
      <c r="M227" s="51"/>
      <c r="N227" s="51"/>
      <c r="O227" s="52"/>
      <c r="P227" s="44"/>
      <c r="Q227" s="75"/>
    </row>
    <row r="228" spans="1:17" ht="18.75" hidden="1">
      <c r="A228" s="51"/>
      <c r="B228" s="51" t="s">
        <v>190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2"/>
      <c r="P228" s="42"/>
      <c r="Q228" s="75"/>
    </row>
    <row r="229" spans="1:17" ht="18.75" hidden="1">
      <c r="A229" s="34"/>
      <c r="B229" s="51" t="s">
        <v>176</v>
      </c>
      <c r="C229" s="54"/>
      <c r="D229" s="110">
        <v>244</v>
      </c>
      <c r="E229" s="110"/>
      <c r="F229" s="54"/>
      <c r="G229" s="54"/>
      <c r="H229" s="51"/>
      <c r="I229" s="51"/>
      <c r="J229" s="51"/>
      <c r="K229" s="51"/>
      <c r="L229" s="51"/>
      <c r="M229" s="51"/>
      <c r="N229" s="51"/>
      <c r="O229" s="52"/>
      <c r="P229" s="42"/>
      <c r="Q229" s="75"/>
    </row>
    <row r="230" spans="1:17" ht="18.75" hidden="1">
      <c r="A230" s="34"/>
      <c r="B230" s="51" t="s">
        <v>177</v>
      </c>
      <c r="C230" s="51"/>
      <c r="D230" s="81"/>
      <c r="E230" s="54"/>
      <c r="F230" s="110" t="s">
        <v>150</v>
      </c>
      <c r="G230" s="110"/>
      <c r="H230" s="110"/>
      <c r="I230" s="110"/>
      <c r="J230" s="110"/>
      <c r="K230" s="110"/>
      <c r="L230" s="51"/>
      <c r="M230" s="51"/>
      <c r="N230" s="51"/>
      <c r="O230" s="52"/>
      <c r="P230" s="42"/>
      <c r="Q230" s="75"/>
    </row>
    <row r="231" spans="1:17" ht="18.75" hidden="1">
      <c r="A231" s="54"/>
      <c r="B231" s="54"/>
      <c r="C231" s="54"/>
      <c r="D231" s="54"/>
      <c r="E231" s="54"/>
      <c r="F231" s="54"/>
      <c r="G231" s="122"/>
      <c r="H231" s="51"/>
      <c r="I231" s="51"/>
      <c r="J231" s="51"/>
      <c r="K231" s="51"/>
      <c r="L231" s="51"/>
      <c r="M231" s="51"/>
      <c r="N231" s="51"/>
      <c r="O231" s="52"/>
      <c r="P231" s="44"/>
      <c r="Q231" s="75"/>
    </row>
    <row r="232" spans="1:17" ht="37.5" hidden="1">
      <c r="A232" s="47" t="s">
        <v>151</v>
      </c>
      <c r="B232" s="173" t="s">
        <v>0</v>
      </c>
      <c r="C232" s="174"/>
      <c r="D232" s="174"/>
      <c r="E232" s="175"/>
      <c r="F232" s="201" t="s">
        <v>164</v>
      </c>
      <c r="G232" s="202"/>
      <c r="H232" s="59" t="s">
        <v>178</v>
      </c>
      <c r="I232" s="59" t="s">
        <v>179</v>
      </c>
      <c r="J232" s="59" t="s">
        <v>180</v>
      </c>
      <c r="K232" s="51"/>
      <c r="L232" s="51"/>
      <c r="M232" s="51"/>
      <c r="N232" s="51"/>
      <c r="O232" s="52"/>
      <c r="P232" s="44"/>
      <c r="Q232" s="75"/>
    </row>
    <row r="233" spans="1:17" ht="18.75" hidden="1">
      <c r="A233" s="148">
        <v>1</v>
      </c>
      <c r="B233" s="173">
        <v>2</v>
      </c>
      <c r="C233" s="174"/>
      <c r="D233" s="174"/>
      <c r="E233" s="175"/>
      <c r="F233" s="173">
        <v>3</v>
      </c>
      <c r="G233" s="175"/>
      <c r="H233" s="148">
        <v>4</v>
      </c>
      <c r="I233" s="148">
        <v>5</v>
      </c>
      <c r="J233" s="148">
        <v>6</v>
      </c>
      <c r="K233" s="157"/>
      <c r="L233" s="157"/>
      <c r="M233" s="157"/>
      <c r="N233" s="157"/>
      <c r="O233" s="60"/>
      <c r="P233" s="45"/>
      <c r="Q233" s="75"/>
    </row>
    <row r="234" spans="1:17" ht="18.75" hidden="1">
      <c r="A234" s="47"/>
      <c r="B234" s="173"/>
      <c r="C234" s="174"/>
      <c r="D234" s="174"/>
      <c r="E234" s="175"/>
      <c r="F234" s="173"/>
      <c r="G234" s="175"/>
      <c r="H234" s="47"/>
      <c r="I234" s="47"/>
      <c r="J234" s="47"/>
      <c r="K234" s="51"/>
      <c r="L234" s="51"/>
      <c r="M234" s="51"/>
      <c r="N234" s="51"/>
      <c r="O234" s="52"/>
      <c r="P234" s="44"/>
      <c r="Q234" s="75"/>
    </row>
    <row r="235" spans="1:17" ht="18.75" hidden="1">
      <c r="A235" s="47"/>
      <c r="B235" s="198" t="s">
        <v>181</v>
      </c>
      <c r="C235" s="199"/>
      <c r="D235" s="199"/>
      <c r="E235" s="200"/>
      <c r="F235" s="173"/>
      <c r="G235" s="175"/>
      <c r="H235" s="47" t="s">
        <v>7</v>
      </c>
      <c r="I235" s="47" t="s">
        <v>7</v>
      </c>
      <c r="J235" s="47"/>
      <c r="K235" s="51"/>
      <c r="L235" s="51"/>
      <c r="M235" s="51"/>
      <c r="N235" s="51"/>
      <c r="O235" s="52"/>
      <c r="P235" s="44"/>
      <c r="Q235" s="75"/>
    </row>
    <row r="236" spans="1:17" ht="18.75" hidden="1">
      <c r="A236" s="51"/>
      <c r="B236" s="51" t="s">
        <v>191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2"/>
      <c r="P236" s="42"/>
      <c r="Q236" s="75"/>
    </row>
    <row r="237" spans="1:17" ht="18.75" hidden="1">
      <c r="A237" s="34"/>
      <c r="B237" s="51" t="s">
        <v>176</v>
      </c>
      <c r="C237" s="51"/>
      <c r="D237" s="110">
        <v>244</v>
      </c>
      <c r="E237" s="110"/>
      <c r="F237" s="110"/>
      <c r="G237" s="54"/>
      <c r="H237" s="51"/>
      <c r="I237" s="51"/>
      <c r="J237" s="51"/>
      <c r="K237" s="51"/>
      <c r="L237" s="51"/>
      <c r="M237" s="51"/>
      <c r="N237" s="51"/>
      <c r="O237" s="52"/>
      <c r="P237" s="42"/>
      <c r="Q237" s="75"/>
    </row>
    <row r="238" spans="1:17" ht="18.75" hidden="1">
      <c r="A238" s="34"/>
      <c r="B238" s="51" t="s">
        <v>149</v>
      </c>
      <c r="C238" s="51"/>
      <c r="D238" s="81"/>
      <c r="E238" s="81"/>
      <c r="F238" s="112" t="s">
        <v>150</v>
      </c>
      <c r="G238" s="54"/>
      <c r="H238" s="51"/>
      <c r="I238" s="51"/>
      <c r="J238" s="51"/>
      <c r="K238" s="51"/>
      <c r="L238" s="51"/>
      <c r="M238" s="51"/>
      <c r="N238" s="51"/>
      <c r="O238" s="52"/>
      <c r="P238" s="42"/>
      <c r="Q238" s="75"/>
    </row>
    <row r="239" spans="1:17" ht="18.75" hidden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2"/>
      <c r="P239" s="42"/>
      <c r="Q239" s="75"/>
    </row>
    <row r="240" spans="1:17" ht="18.75" hidden="1">
      <c r="A240" s="51"/>
      <c r="B240" s="51" t="s">
        <v>192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2"/>
      <c r="P240" s="42"/>
      <c r="Q240" s="75"/>
    </row>
    <row r="241" spans="1:17" ht="18.75" hidden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2"/>
      <c r="P241" s="42"/>
      <c r="Q241" s="75"/>
    </row>
    <row r="242" spans="1:17" ht="75" hidden="1">
      <c r="A242" s="47" t="s">
        <v>151</v>
      </c>
      <c r="B242" s="208" t="s">
        <v>152</v>
      </c>
      <c r="C242" s="208"/>
      <c r="D242" s="59" t="s">
        <v>164</v>
      </c>
      <c r="E242" s="208" t="s">
        <v>193</v>
      </c>
      <c r="F242" s="208"/>
      <c r="G242" s="208" t="s">
        <v>194</v>
      </c>
      <c r="H242" s="208"/>
      <c r="I242" s="59" t="s">
        <v>195</v>
      </c>
      <c r="J242" s="59" t="s">
        <v>174</v>
      </c>
      <c r="K242" s="51"/>
      <c r="L242" s="51"/>
      <c r="M242" s="51"/>
      <c r="N242" s="51"/>
      <c r="O242" s="52"/>
      <c r="P242" s="42"/>
      <c r="Q242" s="75"/>
    </row>
    <row r="243" spans="1:17" ht="18.75" hidden="1">
      <c r="A243" s="148">
        <v>1</v>
      </c>
      <c r="B243" s="176">
        <v>2</v>
      </c>
      <c r="C243" s="176"/>
      <c r="D243" s="148">
        <v>3</v>
      </c>
      <c r="E243" s="176">
        <v>4</v>
      </c>
      <c r="F243" s="176"/>
      <c r="G243" s="176">
        <v>5</v>
      </c>
      <c r="H243" s="176"/>
      <c r="I243" s="148">
        <v>6</v>
      </c>
      <c r="J243" s="148">
        <v>7</v>
      </c>
      <c r="K243" s="51"/>
      <c r="L243" s="51"/>
      <c r="M243" s="51"/>
      <c r="N243" s="51"/>
      <c r="O243" s="52"/>
      <c r="P243" s="42"/>
      <c r="Q243" s="75"/>
    </row>
    <row r="244" spans="1:17" ht="18.75" hidden="1">
      <c r="A244" s="47">
        <v>1</v>
      </c>
      <c r="B244" s="176" t="s">
        <v>196</v>
      </c>
      <c r="C244" s="176"/>
      <c r="D244" s="148">
        <v>221</v>
      </c>
      <c r="E244" s="176">
        <v>2</v>
      </c>
      <c r="F244" s="176"/>
      <c r="G244" s="176">
        <v>12</v>
      </c>
      <c r="H244" s="176"/>
      <c r="I244" s="126">
        <f>J244/G244</f>
        <v>0</v>
      </c>
      <c r="J244" s="50"/>
      <c r="K244" s="51"/>
      <c r="L244" s="51"/>
      <c r="M244" s="51"/>
      <c r="N244" s="51"/>
      <c r="O244" s="52"/>
      <c r="P244" s="42"/>
      <c r="Q244" s="75"/>
    </row>
    <row r="245" spans="1:17" ht="18.75" hidden="1">
      <c r="A245" s="47">
        <v>2</v>
      </c>
      <c r="B245" s="176" t="s">
        <v>197</v>
      </c>
      <c r="C245" s="176"/>
      <c r="D245" s="148">
        <v>221</v>
      </c>
      <c r="E245" s="176">
        <v>1</v>
      </c>
      <c r="F245" s="176"/>
      <c r="G245" s="176">
        <v>12</v>
      </c>
      <c r="H245" s="176"/>
      <c r="I245" s="47">
        <f>ROUND(J245/G245,2)</f>
        <v>0</v>
      </c>
      <c r="J245" s="50"/>
      <c r="K245" s="51"/>
      <c r="L245" s="51"/>
      <c r="M245" s="51"/>
      <c r="N245" s="51"/>
      <c r="O245" s="52"/>
      <c r="P245" s="42"/>
      <c r="Q245" s="75"/>
    </row>
    <row r="246" spans="1:17" ht="18.75" hidden="1">
      <c r="A246" s="47"/>
      <c r="B246" s="176" t="s">
        <v>198</v>
      </c>
      <c r="C246" s="176"/>
      <c r="D246" s="148"/>
      <c r="E246" s="176" t="s">
        <v>168</v>
      </c>
      <c r="F246" s="176"/>
      <c r="G246" s="176" t="s">
        <v>168</v>
      </c>
      <c r="H246" s="176"/>
      <c r="I246" s="47" t="s">
        <v>168</v>
      </c>
      <c r="J246" s="50">
        <f>SUM(J244:J245)</f>
        <v>0</v>
      </c>
      <c r="K246" s="51"/>
      <c r="L246" s="51"/>
      <c r="M246" s="51"/>
      <c r="N246" s="51"/>
      <c r="O246" s="52"/>
      <c r="P246" s="49"/>
      <c r="Q246" s="75"/>
    </row>
    <row r="247" spans="1:17" ht="18.75" hidden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2"/>
      <c r="P247" s="42"/>
      <c r="Q247" s="75"/>
    </row>
    <row r="248" spans="1:17" ht="18.75">
      <c r="A248" s="51"/>
      <c r="B248" s="51" t="s">
        <v>389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2"/>
      <c r="P248" s="42"/>
      <c r="Q248" s="75"/>
    </row>
    <row r="249" spans="1:17" ht="18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2"/>
      <c r="P249" s="42"/>
      <c r="Q249" s="75"/>
    </row>
    <row r="250" spans="1:17" ht="56.25" customHeight="1">
      <c r="A250" s="47" t="s">
        <v>151</v>
      </c>
      <c r="B250" s="208" t="s">
        <v>0</v>
      </c>
      <c r="C250" s="208"/>
      <c r="D250" s="208"/>
      <c r="E250" s="208" t="s">
        <v>164</v>
      </c>
      <c r="F250" s="208"/>
      <c r="G250" s="208" t="s">
        <v>199</v>
      </c>
      <c r="H250" s="208"/>
      <c r="I250" s="59" t="s">
        <v>200</v>
      </c>
      <c r="J250" s="59" t="s">
        <v>201</v>
      </c>
      <c r="K250" s="59" t="s">
        <v>174</v>
      </c>
      <c r="L250" s="51"/>
      <c r="M250" s="51"/>
      <c r="N250" s="51"/>
      <c r="O250" s="52"/>
      <c r="P250" s="42"/>
      <c r="Q250" s="75"/>
    </row>
    <row r="251" spans="1:17" ht="18.75">
      <c r="A251" s="148">
        <v>1</v>
      </c>
      <c r="B251" s="176">
        <v>2</v>
      </c>
      <c r="C251" s="176"/>
      <c r="D251" s="176"/>
      <c r="E251" s="176">
        <v>3</v>
      </c>
      <c r="F251" s="176"/>
      <c r="G251" s="176">
        <v>4</v>
      </c>
      <c r="H251" s="176"/>
      <c r="I251" s="148">
        <v>5</v>
      </c>
      <c r="J251" s="148">
        <v>6</v>
      </c>
      <c r="K251" s="148">
        <v>7</v>
      </c>
      <c r="L251" s="51"/>
      <c r="M251" s="51"/>
      <c r="N251" s="51"/>
      <c r="O251" s="52"/>
      <c r="P251" s="42"/>
      <c r="Q251" s="75"/>
    </row>
    <row r="252" spans="1:19" ht="18.75" customHeight="1">
      <c r="A252" s="47">
        <v>1</v>
      </c>
      <c r="B252" s="222" t="s">
        <v>235</v>
      </c>
      <c r="C252" s="222"/>
      <c r="D252" s="222"/>
      <c r="E252" s="176">
        <v>223</v>
      </c>
      <c r="F252" s="176"/>
      <c r="G252" s="223">
        <v>625.71</v>
      </c>
      <c r="H252" s="223"/>
      <c r="I252" s="50">
        <v>3085.2</v>
      </c>
      <c r="J252" s="47"/>
      <c r="K252" s="50">
        <f>ROUND(G252*I252,2)-300000-74271.77+115200+347156-104448.61-152925.99+57674.33+82698.07+100000</f>
        <v>2001522.52</v>
      </c>
      <c r="L252" s="103"/>
      <c r="M252" s="51"/>
      <c r="N252" s="51"/>
      <c r="O252" s="52"/>
      <c r="P252" s="42"/>
      <c r="Q252" s="75"/>
      <c r="R252" s="77"/>
      <c r="S252" s="77"/>
    </row>
    <row r="253" spans="1:19" ht="51" customHeight="1">
      <c r="A253" s="47">
        <v>2</v>
      </c>
      <c r="B253" s="222" t="s">
        <v>436</v>
      </c>
      <c r="C253" s="222"/>
      <c r="D253" s="222"/>
      <c r="E253" s="176">
        <v>223</v>
      </c>
      <c r="F253" s="176"/>
      <c r="G253" s="223">
        <v>148.902</v>
      </c>
      <c r="H253" s="223"/>
      <c r="I253" s="50">
        <v>9739.58</v>
      </c>
      <c r="J253" s="47"/>
      <c r="K253" s="50">
        <v>57674.33</v>
      </c>
      <c r="L253" s="51"/>
      <c r="M253" s="51"/>
      <c r="N253" s="51"/>
      <c r="O253" s="52"/>
      <c r="P253" s="42"/>
      <c r="Q253" s="75"/>
      <c r="R253" s="77"/>
      <c r="S253" s="77"/>
    </row>
    <row r="254" spans="1:19" ht="18.75" customHeight="1">
      <c r="A254" s="47">
        <v>3</v>
      </c>
      <c r="B254" s="222" t="s">
        <v>202</v>
      </c>
      <c r="C254" s="222"/>
      <c r="D254" s="222"/>
      <c r="E254" s="176">
        <v>223</v>
      </c>
      <c r="F254" s="176"/>
      <c r="G254" s="223">
        <v>148.902</v>
      </c>
      <c r="H254" s="223"/>
      <c r="I254" s="50">
        <v>9739.58</v>
      </c>
      <c r="J254" s="47"/>
      <c r="K254" s="50">
        <f>ROUND(G254*I254*1000,2)/1000-500000-55777.2+1137+44069.2+23405.99+28000+10000-3731.66</f>
        <v>997346.2711600001</v>
      </c>
      <c r="L254" s="51"/>
      <c r="M254" s="51"/>
      <c r="N254" s="51"/>
      <c r="O254" s="52"/>
      <c r="P254" s="42"/>
      <c r="Q254" s="75"/>
      <c r="R254" s="77"/>
      <c r="S254" s="77"/>
    </row>
    <row r="255" spans="1:19" ht="18.75" customHeight="1">
      <c r="A255" s="47">
        <v>4</v>
      </c>
      <c r="B255" s="224" t="s">
        <v>236</v>
      </c>
      <c r="C255" s="225"/>
      <c r="D255" s="226"/>
      <c r="E255" s="176">
        <v>223</v>
      </c>
      <c r="F255" s="176"/>
      <c r="G255" s="227">
        <v>22.774</v>
      </c>
      <c r="H255" s="228"/>
      <c r="I255" s="50">
        <v>3086.36</v>
      </c>
      <c r="J255" s="47"/>
      <c r="K255" s="50">
        <f>ROUND(G255*I255,2)-2729.69-44069.2-13405.99+28000-28000</f>
        <v>10083.879999999997</v>
      </c>
      <c r="L255" s="51"/>
      <c r="M255" s="51"/>
      <c r="N255" s="51"/>
      <c r="O255" s="52"/>
      <c r="P255" s="42"/>
      <c r="Q255" s="75"/>
      <c r="R255" s="77"/>
      <c r="S255" s="77"/>
    </row>
    <row r="256" spans="1:19" ht="18.75" customHeight="1">
      <c r="A256" s="47">
        <v>5</v>
      </c>
      <c r="B256" s="224" t="s">
        <v>236</v>
      </c>
      <c r="C256" s="225"/>
      <c r="D256" s="226"/>
      <c r="E256" s="176">
        <v>223</v>
      </c>
      <c r="F256" s="176"/>
      <c r="G256" s="227">
        <v>386</v>
      </c>
      <c r="H256" s="228"/>
      <c r="I256" s="50">
        <v>40.6</v>
      </c>
      <c r="J256" s="47"/>
      <c r="K256" s="50">
        <f>ROUND(G256*I256,2)-602.16-10000+10000-10000</f>
        <v>5069.4400000000005</v>
      </c>
      <c r="L256" s="51"/>
      <c r="M256" s="51"/>
      <c r="N256" s="51"/>
      <c r="O256" s="52"/>
      <c r="P256" s="42"/>
      <c r="Q256" s="75"/>
      <c r="R256" s="77"/>
      <c r="S256" s="77"/>
    </row>
    <row r="257" spans="1:18" ht="18.75">
      <c r="A257" s="47"/>
      <c r="B257" s="173" t="s">
        <v>130</v>
      </c>
      <c r="C257" s="174"/>
      <c r="D257" s="175"/>
      <c r="E257" s="176"/>
      <c r="F257" s="176"/>
      <c r="G257" s="176" t="s">
        <v>168</v>
      </c>
      <c r="H257" s="176"/>
      <c r="I257" s="47" t="s">
        <v>168</v>
      </c>
      <c r="J257" s="47" t="s">
        <v>168</v>
      </c>
      <c r="K257" s="50">
        <f>SUM(K252:K256)</f>
        <v>3071696.44116</v>
      </c>
      <c r="L257" s="51"/>
      <c r="M257" s="51"/>
      <c r="N257" s="51"/>
      <c r="O257" s="52"/>
      <c r="P257" s="45"/>
      <c r="Q257" s="75"/>
      <c r="R257" s="77"/>
    </row>
    <row r="258" spans="1:17" ht="18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103"/>
      <c r="N258" s="51"/>
      <c r="O258" s="52"/>
      <c r="P258" s="42"/>
      <c r="Q258" s="75"/>
    </row>
    <row r="259" spans="1:17" ht="18.75" hidden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2"/>
      <c r="P259" s="42"/>
      <c r="Q259" s="75"/>
    </row>
    <row r="260" spans="1:17" ht="18.75" hidden="1">
      <c r="A260" s="51"/>
      <c r="B260" s="51" t="s">
        <v>228</v>
      </c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2"/>
      <c r="P260" s="42"/>
      <c r="Q260" s="75"/>
    </row>
    <row r="261" spans="1:17" ht="18.75" hidden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2"/>
      <c r="P261" s="42"/>
      <c r="Q261" s="75"/>
    </row>
    <row r="262" spans="1:17" ht="56.25" hidden="1">
      <c r="A262" s="47" t="s">
        <v>151</v>
      </c>
      <c r="B262" s="208" t="s">
        <v>0</v>
      </c>
      <c r="C262" s="208"/>
      <c r="D262" s="208"/>
      <c r="E262" s="208" t="s">
        <v>164</v>
      </c>
      <c r="F262" s="208"/>
      <c r="G262" s="208" t="s">
        <v>186</v>
      </c>
      <c r="H262" s="208"/>
      <c r="I262" s="59" t="s">
        <v>205</v>
      </c>
      <c r="J262" s="59" t="s">
        <v>206</v>
      </c>
      <c r="K262" s="51"/>
      <c r="L262" s="51"/>
      <c r="M262" s="51"/>
      <c r="N262" s="51"/>
      <c r="O262" s="52"/>
      <c r="P262" s="42"/>
      <c r="Q262" s="75"/>
    </row>
    <row r="263" spans="1:17" ht="18.75" hidden="1">
      <c r="A263" s="148">
        <v>1</v>
      </c>
      <c r="B263" s="176">
        <v>2</v>
      </c>
      <c r="C263" s="176"/>
      <c r="D263" s="176"/>
      <c r="E263" s="176">
        <v>3</v>
      </c>
      <c r="F263" s="176"/>
      <c r="G263" s="176">
        <v>4</v>
      </c>
      <c r="H263" s="176"/>
      <c r="I263" s="148">
        <v>5</v>
      </c>
      <c r="J263" s="148">
        <v>6</v>
      </c>
      <c r="K263" s="51"/>
      <c r="L263" s="51"/>
      <c r="M263" s="51"/>
      <c r="N263" s="51"/>
      <c r="O263" s="52"/>
      <c r="P263" s="42"/>
      <c r="Q263" s="75"/>
    </row>
    <row r="264" spans="1:17" ht="18.75" hidden="1">
      <c r="A264" s="47"/>
      <c r="B264" s="173"/>
      <c r="C264" s="174"/>
      <c r="D264" s="175"/>
      <c r="E264" s="176"/>
      <c r="F264" s="176"/>
      <c r="G264" s="176"/>
      <c r="H264" s="176"/>
      <c r="I264" s="47"/>
      <c r="J264" s="47"/>
      <c r="K264" s="51"/>
      <c r="L264" s="51"/>
      <c r="M264" s="51"/>
      <c r="N264" s="51"/>
      <c r="O264" s="52"/>
      <c r="P264" s="42"/>
      <c r="Q264" s="75"/>
    </row>
    <row r="265" spans="1:17" ht="18.75" hidden="1">
      <c r="A265" s="47"/>
      <c r="B265" s="176" t="s">
        <v>130</v>
      </c>
      <c r="C265" s="176"/>
      <c r="D265" s="176"/>
      <c r="E265" s="176"/>
      <c r="F265" s="176"/>
      <c r="G265" s="176" t="s">
        <v>7</v>
      </c>
      <c r="H265" s="176"/>
      <c r="I265" s="47" t="s">
        <v>7</v>
      </c>
      <c r="J265" s="47">
        <f>J264</f>
        <v>0</v>
      </c>
      <c r="K265" s="51"/>
      <c r="L265" s="51"/>
      <c r="M265" s="51"/>
      <c r="N265" s="51"/>
      <c r="O265" s="52"/>
      <c r="P265" s="42"/>
      <c r="Q265" s="75"/>
    </row>
    <row r="266" spans="1:17" ht="18.75" hidden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2"/>
      <c r="P266" s="42"/>
      <c r="Q266" s="75"/>
    </row>
    <row r="267" spans="1:17" ht="18.75">
      <c r="A267" s="51"/>
      <c r="B267" s="51" t="s">
        <v>333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103"/>
      <c r="N267" s="51"/>
      <c r="O267" s="52"/>
      <c r="P267" s="42"/>
      <c r="Q267" s="75"/>
    </row>
    <row r="268" spans="1:17" ht="18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2"/>
      <c r="P268" s="42"/>
      <c r="Q268" s="75"/>
    </row>
    <row r="269" spans="1:17" ht="18.75">
      <c r="A269" s="33"/>
      <c r="B269" s="51" t="s">
        <v>176</v>
      </c>
      <c r="C269" s="33"/>
      <c r="D269" s="110">
        <v>244</v>
      </c>
      <c r="E269" s="110"/>
      <c r="F269" s="54"/>
      <c r="G269" s="51"/>
      <c r="H269" s="51"/>
      <c r="I269" s="51"/>
      <c r="J269" s="51"/>
      <c r="K269" s="51"/>
      <c r="L269" s="51"/>
      <c r="M269" s="51"/>
      <c r="N269" s="51"/>
      <c r="O269" s="52"/>
      <c r="P269" s="42"/>
      <c r="Q269" s="75"/>
    </row>
    <row r="270" spans="1:17" ht="18.75">
      <c r="A270" s="33"/>
      <c r="B270" s="51" t="s">
        <v>177</v>
      </c>
      <c r="C270" s="81"/>
      <c r="D270" s="81"/>
      <c r="E270" s="160" t="s">
        <v>507</v>
      </c>
      <c r="F270" s="160"/>
      <c r="G270" s="160"/>
      <c r="H270" s="160"/>
      <c r="I270" s="160"/>
      <c r="J270" s="160"/>
      <c r="K270" s="51"/>
      <c r="L270" s="51"/>
      <c r="M270" s="51"/>
      <c r="N270" s="51"/>
      <c r="O270" s="52"/>
      <c r="P270" s="42"/>
      <c r="Q270" s="75"/>
    </row>
    <row r="271" spans="1:17" ht="18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103"/>
      <c r="M271" s="51"/>
      <c r="N271" s="51"/>
      <c r="O271" s="52"/>
      <c r="P271" s="42"/>
      <c r="Q271" s="75"/>
    </row>
    <row r="272" spans="1:17" ht="18.75">
      <c r="A272" s="51"/>
      <c r="B272" s="51" t="s">
        <v>390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2"/>
      <c r="P272" s="42"/>
      <c r="Q272" s="75"/>
    </row>
    <row r="273" spans="1:17" ht="18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2"/>
      <c r="P273" s="42"/>
      <c r="Q273" s="75"/>
    </row>
    <row r="274" spans="1:17" ht="56.25">
      <c r="A274" s="47" t="s">
        <v>151</v>
      </c>
      <c r="B274" s="208" t="s">
        <v>0</v>
      </c>
      <c r="C274" s="208"/>
      <c r="D274" s="208"/>
      <c r="E274" s="208" t="s">
        <v>164</v>
      </c>
      <c r="F274" s="208"/>
      <c r="G274" s="208" t="s">
        <v>199</v>
      </c>
      <c r="H274" s="208"/>
      <c r="I274" s="59" t="s">
        <v>200</v>
      </c>
      <c r="J274" s="59" t="s">
        <v>201</v>
      </c>
      <c r="K274" s="59" t="s">
        <v>174</v>
      </c>
      <c r="L274" s="103"/>
      <c r="M274" s="51"/>
      <c r="N274" s="51"/>
      <c r="O274" s="52"/>
      <c r="P274" s="42"/>
      <c r="Q274" s="75"/>
    </row>
    <row r="275" spans="1:17" ht="18.75">
      <c r="A275" s="148">
        <v>1</v>
      </c>
      <c r="B275" s="176">
        <v>2</v>
      </c>
      <c r="C275" s="176"/>
      <c r="D275" s="176"/>
      <c r="E275" s="176">
        <v>3</v>
      </c>
      <c r="F275" s="176"/>
      <c r="G275" s="176">
        <v>4</v>
      </c>
      <c r="H275" s="176"/>
      <c r="I275" s="148">
        <v>5</v>
      </c>
      <c r="J275" s="148">
        <v>6</v>
      </c>
      <c r="K275" s="148">
        <v>7</v>
      </c>
      <c r="L275" s="51"/>
      <c r="M275" s="103"/>
      <c r="N275" s="51"/>
      <c r="O275" s="52"/>
      <c r="P275" s="42"/>
      <c r="Q275" s="75"/>
    </row>
    <row r="276" spans="1:17" ht="18.75">
      <c r="A276" s="47">
        <v>1</v>
      </c>
      <c r="B276" s="222" t="s">
        <v>203</v>
      </c>
      <c r="C276" s="222"/>
      <c r="D276" s="222"/>
      <c r="E276" s="176">
        <v>223</v>
      </c>
      <c r="F276" s="176"/>
      <c r="G276" s="223">
        <v>4.8</v>
      </c>
      <c r="H276" s="223"/>
      <c r="I276" s="50">
        <v>40.97</v>
      </c>
      <c r="J276" s="47"/>
      <c r="K276" s="50">
        <f>ROUND(G276*I276*1000,2)-47000-7536-12453.9-75000-521.39-1566.1-14520.75+7745.36</f>
        <v>45803.22000000001</v>
      </c>
      <c r="L276" s="51"/>
      <c r="M276" s="51"/>
      <c r="N276" s="51"/>
      <c r="O276" s="52"/>
      <c r="P276" s="221"/>
      <c r="Q276" s="75"/>
    </row>
    <row r="277" spans="1:17" ht="18.75">
      <c r="A277" s="47">
        <v>2</v>
      </c>
      <c r="B277" s="222" t="s">
        <v>204</v>
      </c>
      <c r="C277" s="222"/>
      <c r="D277" s="222"/>
      <c r="E277" s="176">
        <v>223</v>
      </c>
      <c r="F277" s="176"/>
      <c r="G277" s="223">
        <v>5.8</v>
      </c>
      <c r="H277" s="223"/>
      <c r="I277" s="50">
        <v>45.05</v>
      </c>
      <c r="J277" s="47"/>
      <c r="K277" s="50">
        <f>ROUND(G277*I277*1000,2)-114688.97-10034-80000</f>
        <v>56567.03</v>
      </c>
      <c r="L277" s="51"/>
      <c r="M277" s="51"/>
      <c r="N277" s="51"/>
      <c r="O277" s="52"/>
      <c r="P277" s="221"/>
      <c r="Q277" s="75"/>
    </row>
    <row r="278" spans="1:17" ht="18.75">
      <c r="A278" s="47">
        <v>3</v>
      </c>
      <c r="B278" s="180" t="s">
        <v>359</v>
      </c>
      <c r="C278" s="180"/>
      <c r="D278" s="180"/>
      <c r="E278" s="176">
        <v>223</v>
      </c>
      <c r="F278" s="176"/>
      <c r="G278" s="223"/>
      <c r="H278" s="223"/>
      <c r="I278" s="50"/>
      <c r="J278" s="47"/>
      <c r="K278" s="50">
        <f>86000-7745.36</f>
        <v>78254.64</v>
      </c>
      <c r="L278" s="51"/>
      <c r="M278" s="51"/>
      <c r="N278" s="51"/>
      <c r="O278" s="52"/>
      <c r="P278" s="154"/>
      <c r="Q278" s="75"/>
    </row>
    <row r="279" spans="1:17" ht="18.75">
      <c r="A279" s="47"/>
      <c r="B279" s="173" t="s">
        <v>130</v>
      </c>
      <c r="C279" s="174"/>
      <c r="D279" s="175"/>
      <c r="E279" s="176"/>
      <c r="F279" s="176"/>
      <c r="G279" s="176" t="s">
        <v>168</v>
      </c>
      <c r="H279" s="176"/>
      <c r="I279" s="47" t="s">
        <v>168</v>
      </c>
      <c r="J279" s="47" t="s">
        <v>168</v>
      </c>
      <c r="K279" s="50">
        <f>SUM(K276:K278)</f>
        <v>180624.89</v>
      </c>
      <c r="L279" s="51"/>
      <c r="M279" s="51"/>
      <c r="N279" s="51"/>
      <c r="O279" s="52"/>
      <c r="P279" s="45"/>
      <c r="Q279" s="75"/>
    </row>
    <row r="280" spans="1:17" ht="18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2"/>
      <c r="P280" s="42"/>
      <c r="Q280" s="75"/>
    </row>
    <row r="281" spans="1:17" ht="18.75">
      <c r="A281" s="51"/>
      <c r="B281" s="123" t="s">
        <v>391</v>
      </c>
      <c r="C281" s="123"/>
      <c r="D281" s="123"/>
      <c r="E281" s="123"/>
      <c r="F281" s="123"/>
      <c r="G281" s="123"/>
      <c r="H281" s="123"/>
      <c r="I281" s="123"/>
      <c r="J281" s="123"/>
      <c r="K281" s="157"/>
      <c r="L281" s="157"/>
      <c r="M281" s="51"/>
      <c r="N281" s="51"/>
      <c r="O281" s="52"/>
      <c r="P281" s="42"/>
      <c r="Q281" s="75"/>
    </row>
    <row r="282" spans="1:17" ht="18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2"/>
      <c r="P282" s="42"/>
      <c r="Q282" s="75"/>
    </row>
    <row r="283" spans="1:17" ht="37.5" customHeight="1">
      <c r="A283" s="47" t="s">
        <v>151</v>
      </c>
      <c r="B283" s="208" t="s">
        <v>0</v>
      </c>
      <c r="C283" s="208"/>
      <c r="D283" s="208"/>
      <c r="E283" s="208" t="s">
        <v>164</v>
      </c>
      <c r="F283" s="208"/>
      <c r="G283" s="208" t="s">
        <v>182</v>
      </c>
      <c r="H283" s="208"/>
      <c r="I283" s="59" t="s">
        <v>183</v>
      </c>
      <c r="J283" s="59" t="s">
        <v>184</v>
      </c>
      <c r="K283" s="51"/>
      <c r="L283" s="51"/>
      <c r="M283" s="51"/>
      <c r="N283" s="51"/>
      <c r="O283" s="52"/>
      <c r="P283" s="42"/>
      <c r="Q283" s="75"/>
    </row>
    <row r="284" spans="1:17" ht="18.75">
      <c r="A284" s="148">
        <v>1</v>
      </c>
      <c r="B284" s="176">
        <v>2</v>
      </c>
      <c r="C284" s="176"/>
      <c r="D284" s="176"/>
      <c r="E284" s="176">
        <v>3</v>
      </c>
      <c r="F284" s="176"/>
      <c r="G284" s="176">
        <v>4</v>
      </c>
      <c r="H284" s="176"/>
      <c r="I284" s="148">
        <v>5</v>
      </c>
      <c r="J284" s="148">
        <v>6</v>
      </c>
      <c r="K284" s="51"/>
      <c r="L284" s="51"/>
      <c r="M284" s="51"/>
      <c r="N284" s="51"/>
      <c r="O284" s="52"/>
      <c r="P284" s="42"/>
      <c r="Q284" s="75"/>
    </row>
    <row r="285" spans="1:19" ht="27" customHeight="1">
      <c r="A285" s="47">
        <v>1</v>
      </c>
      <c r="B285" s="180" t="s">
        <v>238</v>
      </c>
      <c r="C285" s="180"/>
      <c r="D285" s="180"/>
      <c r="E285" s="176">
        <v>225</v>
      </c>
      <c r="F285" s="176"/>
      <c r="G285" s="176" t="s">
        <v>207</v>
      </c>
      <c r="H285" s="176"/>
      <c r="I285" s="47">
        <v>12</v>
      </c>
      <c r="J285" s="50">
        <v>24000</v>
      </c>
      <c r="K285" s="51"/>
      <c r="L285" s="51"/>
      <c r="M285" s="51"/>
      <c r="N285" s="51"/>
      <c r="O285" s="52"/>
      <c r="P285" s="42"/>
      <c r="Q285" s="75"/>
      <c r="R285" s="16"/>
      <c r="S285" s="16"/>
    </row>
    <row r="286" spans="1:19" ht="18.75" customHeight="1">
      <c r="A286" s="47">
        <v>2</v>
      </c>
      <c r="B286" s="180" t="s">
        <v>237</v>
      </c>
      <c r="C286" s="180"/>
      <c r="D286" s="180"/>
      <c r="E286" s="176">
        <v>225</v>
      </c>
      <c r="F286" s="176"/>
      <c r="G286" s="176" t="s">
        <v>207</v>
      </c>
      <c r="H286" s="176"/>
      <c r="I286" s="47">
        <v>4</v>
      </c>
      <c r="J286" s="50">
        <v>24000</v>
      </c>
      <c r="K286" s="51"/>
      <c r="L286" s="51"/>
      <c r="M286" s="51"/>
      <c r="N286" s="51"/>
      <c r="O286" s="52"/>
      <c r="P286" s="42"/>
      <c r="Q286" s="75"/>
      <c r="R286" s="75"/>
      <c r="S286" s="16"/>
    </row>
    <row r="287" spans="1:19" ht="24" customHeight="1">
      <c r="A287" s="47">
        <v>3</v>
      </c>
      <c r="B287" s="180" t="s">
        <v>239</v>
      </c>
      <c r="C287" s="180"/>
      <c r="D287" s="180"/>
      <c r="E287" s="176">
        <v>225</v>
      </c>
      <c r="F287" s="176"/>
      <c r="G287" s="176" t="s">
        <v>207</v>
      </c>
      <c r="H287" s="176"/>
      <c r="I287" s="47">
        <v>12</v>
      </c>
      <c r="J287" s="50">
        <v>40000</v>
      </c>
      <c r="K287" s="51"/>
      <c r="L287" s="51"/>
      <c r="M287" s="51"/>
      <c r="N287" s="51"/>
      <c r="O287" s="52"/>
      <c r="P287" s="42"/>
      <c r="Q287" s="75"/>
      <c r="R287" s="16"/>
      <c r="S287" s="16"/>
    </row>
    <row r="288" spans="1:19" ht="38.25" customHeight="1">
      <c r="A288" s="47">
        <v>4</v>
      </c>
      <c r="B288" s="182" t="s">
        <v>299</v>
      </c>
      <c r="C288" s="183"/>
      <c r="D288" s="184"/>
      <c r="E288" s="173">
        <v>225</v>
      </c>
      <c r="F288" s="175"/>
      <c r="G288" s="173" t="s">
        <v>300</v>
      </c>
      <c r="H288" s="175"/>
      <c r="I288" s="47">
        <v>1</v>
      </c>
      <c r="J288" s="50">
        <f>15000-5576.96</f>
        <v>9423.04</v>
      </c>
      <c r="K288" s="51"/>
      <c r="L288" s="51"/>
      <c r="M288" s="51"/>
      <c r="N288" s="51"/>
      <c r="O288" s="52"/>
      <c r="P288" s="42"/>
      <c r="Q288" s="75"/>
      <c r="R288" s="16"/>
      <c r="S288" s="16"/>
    </row>
    <row r="289" spans="1:19" ht="27" customHeight="1">
      <c r="A289" s="47">
        <v>5</v>
      </c>
      <c r="B289" s="182" t="s">
        <v>325</v>
      </c>
      <c r="C289" s="183"/>
      <c r="D289" s="184"/>
      <c r="E289" s="173">
        <v>225</v>
      </c>
      <c r="F289" s="175"/>
      <c r="G289" s="173" t="s">
        <v>207</v>
      </c>
      <c r="H289" s="175"/>
      <c r="I289" s="47">
        <v>12</v>
      </c>
      <c r="J289" s="50">
        <v>36000</v>
      </c>
      <c r="K289" s="51"/>
      <c r="L289" s="51"/>
      <c r="M289" s="51"/>
      <c r="N289" s="51"/>
      <c r="O289" s="52"/>
      <c r="P289" s="42"/>
      <c r="Q289" s="75"/>
      <c r="R289" s="16"/>
      <c r="S289" s="16"/>
    </row>
    <row r="290" spans="1:19" ht="38.25" customHeight="1">
      <c r="A290" s="47">
        <v>6</v>
      </c>
      <c r="B290" s="182" t="s">
        <v>355</v>
      </c>
      <c r="C290" s="183"/>
      <c r="D290" s="184"/>
      <c r="E290" s="173">
        <v>225</v>
      </c>
      <c r="F290" s="175"/>
      <c r="G290" s="173" t="s">
        <v>207</v>
      </c>
      <c r="H290" s="175"/>
      <c r="I290" s="47">
        <v>12</v>
      </c>
      <c r="J290" s="50">
        <f>5337.6+672.12+33.8-466.56</f>
        <v>5576.96</v>
      </c>
      <c r="K290" s="51"/>
      <c r="L290" s="51"/>
      <c r="M290" s="51"/>
      <c r="N290" s="51"/>
      <c r="O290" s="52"/>
      <c r="P290" s="42"/>
      <c r="Q290" s="75"/>
      <c r="R290" s="16"/>
      <c r="S290" s="16"/>
    </row>
    <row r="291" spans="1:19" ht="38.25" customHeight="1">
      <c r="A291" s="47">
        <v>7</v>
      </c>
      <c r="B291" s="182" t="s">
        <v>489</v>
      </c>
      <c r="C291" s="183"/>
      <c r="D291" s="184"/>
      <c r="E291" s="173">
        <v>225</v>
      </c>
      <c r="F291" s="175"/>
      <c r="G291" s="173" t="s">
        <v>207</v>
      </c>
      <c r="H291" s="175"/>
      <c r="I291" s="47">
        <v>1</v>
      </c>
      <c r="J291" s="50">
        <v>19000</v>
      </c>
      <c r="K291" s="51"/>
      <c r="L291" s="51"/>
      <c r="M291" s="51"/>
      <c r="N291" s="51"/>
      <c r="O291" s="52"/>
      <c r="P291" s="42"/>
      <c r="Q291" s="75"/>
      <c r="R291" s="16"/>
      <c r="S291" s="16"/>
    </row>
    <row r="292" spans="1:19" ht="18.75">
      <c r="A292" s="47"/>
      <c r="B292" s="173" t="s">
        <v>130</v>
      </c>
      <c r="C292" s="174"/>
      <c r="D292" s="175"/>
      <c r="E292" s="173"/>
      <c r="F292" s="175"/>
      <c r="G292" s="176" t="s">
        <v>7</v>
      </c>
      <c r="H292" s="176"/>
      <c r="I292" s="47" t="s">
        <v>7</v>
      </c>
      <c r="J292" s="50">
        <f>SUM(J285:J291)</f>
        <v>158000</v>
      </c>
      <c r="K292" s="51"/>
      <c r="L292" s="51"/>
      <c r="M292" s="51"/>
      <c r="N292" s="51"/>
      <c r="O292" s="52"/>
      <c r="P292" s="45"/>
      <c r="Q292" s="75"/>
      <c r="R292" s="16"/>
      <c r="S292" s="16"/>
    </row>
    <row r="293" spans="1:17" ht="18.75">
      <c r="A293" s="54"/>
      <c r="B293" s="54"/>
      <c r="C293" s="54"/>
      <c r="D293" s="54"/>
      <c r="E293" s="54"/>
      <c r="F293" s="61"/>
      <c r="G293" s="51"/>
      <c r="H293" s="51"/>
      <c r="I293" s="51"/>
      <c r="J293" s="51"/>
      <c r="K293" s="51"/>
      <c r="L293" s="51"/>
      <c r="M293" s="51"/>
      <c r="N293" s="51"/>
      <c r="O293" s="52"/>
      <c r="P293" s="45"/>
      <c r="Q293" s="75"/>
    </row>
    <row r="294" spans="1:17" ht="18.75">
      <c r="A294" s="51"/>
      <c r="B294" s="51" t="s">
        <v>392</v>
      </c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2"/>
      <c r="P294" s="42"/>
      <c r="Q294" s="75"/>
    </row>
    <row r="295" spans="1:17" ht="18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2"/>
      <c r="P295" s="42"/>
      <c r="Q295" s="75"/>
    </row>
    <row r="296" spans="1:17" ht="37.5" customHeight="1">
      <c r="A296" s="47" t="s">
        <v>151</v>
      </c>
      <c r="B296" s="208" t="s">
        <v>0</v>
      </c>
      <c r="C296" s="208"/>
      <c r="D296" s="208"/>
      <c r="E296" s="208" t="s">
        <v>164</v>
      </c>
      <c r="F296" s="208"/>
      <c r="G296" s="208" t="s">
        <v>185</v>
      </c>
      <c r="H296" s="208"/>
      <c r="I296" s="59" t="s">
        <v>169</v>
      </c>
      <c r="J296" s="51"/>
      <c r="K296" s="51"/>
      <c r="L296" s="51"/>
      <c r="M296" s="51"/>
      <c r="N296" s="51"/>
      <c r="O296" s="52"/>
      <c r="P296" s="42"/>
      <c r="Q296" s="75"/>
    </row>
    <row r="297" spans="1:17" ht="18.75">
      <c r="A297" s="148">
        <v>1</v>
      </c>
      <c r="B297" s="176">
        <v>2</v>
      </c>
      <c r="C297" s="176"/>
      <c r="D297" s="176"/>
      <c r="E297" s="176">
        <v>3</v>
      </c>
      <c r="F297" s="176"/>
      <c r="G297" s="176">
        <v>4</v>
      </c>
      <c r="H297" s="176"/>
      <c r="I297" s="148">
        <v>5</v>
      </c>
      <c r="J297" s="51"/>
      <c r="K297" s="51"/>
      <c r="L297" s="51"/>
      <c r="M297" s="51"/>
      <c r="N297" s="51"/>
      <c r="O297" s="52"/>
      <c r="P297" s="42"/>
      <c r="Q297" s="75"/>
    </row>
    <row r="298" spans="1:18" ht="19.5" customHeight="1">
      <c r="A298" s="120">
        <v>1</v>
      </c>
      <c r="B298" s="180" t="s">
        <v>340</v>
      </c>
      <c r="C298" s="180"/>
      <c r="D298" s="180"/>
      <c r="E298" s="176">
        <v>226</v>
      </c>
      <c r="F298" s="176"/>
      <c r="G298" s="176">
        <v>1</v>
      </c>
      <c r="H298" s="176"/>
      <c r="I298" s="50">
        <v>27332</v>
      </c>
      <c r="J298" s="51"/>
      <c r="K298" s="51"/>
      <c r="L298" s="51"/>
      <c r="M298" s="51"/>
      <c r="N298" s="51"/>
      <c r="O298" s="52"/>
      <c r="P298" s="42"/>
      <c r="Q298" s="75"/>
      <c r="R298" s="16"/>
    </row>
    <row r="299" spans="1:18" ht="19.5" customHeight="1">
      <c r="A299" s="120">
        <v>2</v>
      </c>
      <c r="B299" s="182" t="s">
        <v>327</v>
      </c>
      <c r="C299" s="183"/>
      <c r="D299" s="184"/>
      <c r="E299" s="176">
        <v>226</v>
      </c>
      <c r="F299" s="176"/>
      <c r="G299" s="176">
        <v>1</v>
      </c>
      <c r="H299" s="176"/>
      <c r="I299" s="50">
        <f>744600+109000</f>
        <v>853600</v>
      </c>
      <c r="J299" s="51"/>
      <c r="K299" s="51"/>
      <c r="L299" s="51"/>
      <c r="M299" s="51"/>
      <c r="N299" s="51"/>
      <c r="O299" s="52"/>
      <c r="P299" s="42"/>
      <c r="Q299" s="75"/>
      <c r="R299" s="75"/>
    </row>
    <row r="300" spans="1:18" ht="18.75" customHeight="1">
      <c r="A300" s="120">
        <v>3</v>
      </c>
      <c r="B300" s="217" t="s">
        <v>240</v>
      </c>
      <c r="C300" s="217"/>
      <c r="D300" s="217"/>
      <c r="E300" s="176">
        <v>226</v>
      </c>
      <c r="F300" s="176"/>
      <c r="G300" s="176">
        <v>2</v>
      </c>
      <c r="H300" s="176"/>
      <c r="I300" s="50">
        <v>15000</v>
      </c>
      <c r="J300" s="51"/>
      <c r="K300" s="51"/>
      <c r="L300" s="51"/>
      <c r="M300" s="51"/>
      <c r="N300" s="51"/>
      <c r="O300" s="52"/>
      <c r="P300" s="42"/>
      <c r="Q300" s="75"/>
      <c r="R300" s="16"/>
    </row>
    <row r="301" spans="1:18" ht="18.75" customHeight="1">
      <c r="A301" s="120">
        <v>4</v>
      </c>
      <c r="B301" s="217" t="s">
        <v>241</v>
      </c>
      <c r="C301" s="217"/>
      <c r="D301" s="217"/>
      <c r="E301" s="176">
        <v>226</v>
      </c>
      <c r="F301" s="176"/>
      <c r="G301" s="176">
        <v>1</v>
      </c>
      <c r="H301" s="176"/>
      <c r="I301" s="50">
        <f>6000+42514</f>
        <v>48514</v>
      </c>
      <c r="J301" s="51"/>
      <c r="K301" s="51"/>
      <c r="L301" s="51"/>
      <c r="M301" s="51"/>
      <c r="N301" s="51"/>
      <c r="O301" s="52"/>
      <c r="P301" s="42"/>
      <c r="Q301" s="75"/>
      <c r="R301" s="75"/>
    </row>
    <row r="302" spans="1:18" ht="18.75" customHeight="1">
      <c r="A302" s="120">
        <v>5</v>
      </c>
      <c r="B302" s="218" t="s">
        <v>289</v>
      </c>
      <c r="C302" s="219"/>
      <c r="D302" s="220"/>
      <c r="E302" s="173">
        <v>226</v>
      </c>
      <c r="F302" s="175"/>
      <c r="G302" s="173">
        <v>1</v>
      </c>
      <c r="H302" s="175"/>
      <c r="I302" s="50">
        <f>2000+5000-1000+1500</f>
        <v>7500</v>
      </c>
      <c r="J302" s="51"/>
      <c r="K302" s="51"/>
      <c r="L302" s="51"/>
      <c r="M302" s="51"/>
      <c r="N302" s="51"/>
      <c r="O302" s="52"/>
      <c r="P302" s="42"/>
      <c r="Q302" s="75"/>
      <c r="R302" s="16"/>
    </row>
    <row r="303" spans="1:18" ht="20.25" customHeight="1">
      <c r="A303" s="120">
        <v>6</v>
      </c>
      <c r="B303" s="182" t="s">
        <v>341</v>
      </c>
      <c r="C303" s="183"/>
      <c r="D303" s="184"/>
      <c r="E303" s="173">
        <v>226</v>
      </c>
      <c r="F303" s="175"/>
      <c r="G303" s="173">
        <v>1</v>
      </c>
      <c r="H303" s="175"/>
      <c r="I303" s="50">
        <f>21231.3-6000-1500-6048-3034.42-1512-1512</f>
        <v>1624.8799999999992</v>
      </c>
      <c r="J303" s="51"/>
      <c r="K303" s="51"/>
      <c r="L303" s="51"/>
      <c r="M303" s="51"/>
      <c r="N303" s="51"/>
      <c r="O303" s="52"/>
      <c r="P303" s="42"/>
      <c r="Q303" s="75"/>
      <c r="R303" s="16"/>
    </row>
    <row r="304" spans="1:18" ht="19.5" customHeight="1">
      <c r="A304" s="120">
        <v>7</v>
      </c>
      <c r="B304" s="182" t="s">
        <v>376</v>
      </c>
      <c r="C304" s="183"/>
      <c r="D304" s="184"/>
      <c r="E304" s="173">
        <v>226</v>
      </c>
      <c r="F304" s="175"/>
      <c r="G304" s="173">
        <v>0</v>
      </c>
      <c r="H304" s="175"/>
      <c r="I304" s="50">
        <f>20000-20000</f>
        <v>0</v>
      </c>
      <c r="J304" s="51"/>
      <c r="K304" s="51"/>
      <c r="L304" s="51"/>
      <c r="M304" s="51"/>
      <c r="N304" s="51"/>
      <c r="O304" s="52"/>
      <c r="P304" s="42"/>
      <c r="Q304" s="75"/>
      <c r="R304" s="16"/>
    </row>
    <row r="305" spans="1:18" ht="44.25" customHeight="1">
      <c r="A305" s="120">
        <v>8</v>
      </c>
      <c r="B305" s="182" t="s">
        <v>458</v>
      </c>
      <c r="C305" s="183"/>
      <c r="D305" s="184"/>
      <c r="E305" s="173">
        <v>226</v>
      </c>
      <c r="F305" s="175"/>
      <c r="G305" s="173">
        <v>1</v>
      </c>
      <c r="H305" s="175"/>
      <c r="I305" s="50">
        <f>6048+1512+1512</f>
        <v>9072</v>
      </c>
      <c r="J305" s="51"/>
      <c r="K305" s="51"/>
      <c r="L305" s="51"/>
      <c r="M305" s="51"/>
      <c r="N305" s="51"/>
      <c r="O305" s="52"/>
      <c r="P305" s="42"/>
      <c r="Q305" s="75"/>
      <c r="R305" s="16"/>
    </row>
    <row r="306" spans="1:18" ht="44.25" customHeight="1">
      <c r="A306" s="120">
        <v>9</v>
      </c>
      <c r="B306" s="182" t="s">
        <v>492</v>
      </c>
      <c r="C306" s="183"/>
      <c r="D306" s="184"/>
      <c r="E306" s="173">
        <v>226</v>
      </c>
      <c r="F306" s="175"/>
      <c r="G306" s="173">
        <v>1</v>
      </c>
      <c r="H306" s="175"/>
      <c r="I306" s="50">
        <f>23034.42</f>
        <v>23034.42</v>
      </c>
      <c r="J306" s="51"/>
      <c r="K306" s="51"/>
      <c r="L306" s="51"/>
      <c r="M306" s="51"/>
      <c r="N306" s="51"/>
      <c r="O306" s="52"/>
      <c r="P306" s="42"/>
      <c r="Q306" s="75"/>
      <c r="R306" s="16"/>
    </row>
    <row r="307" spans="1:18" ht="18.75" customHeight="1">
      <c r="A307" s="47"/>
      <c r="B307" s="173" t="s">
        <v>130</v>
      </c>
      <c r="C307" s="174"/>
      <c r="D307" s="175"/>
      <c r="E307" s="173"/>
      <c r="F307" s="175"/>
      <c r="G307" s="173" t="s">
        <v>7</v>
      </c>
      <c r="H307" s="175"/>
      <c r="I307" s="50">
        <f>SUM(I298:I306)</f>
        <v>985677.3</v>
      </c>
      <c r="J307" s="51"/>
      <c r="K307" s="51"/>
      <c r="L307" s="51"/>
      <c r="M307" s="51"/>
      <c r="N307" s="51"/>
      <c r="O307" s="52"/>
      <c r="P307" s="45"/>
      <c r="Q307" s="75"/>
      <c r="R307" s="16"/>
    </row>
    <row r="308" spans="1:18" ht="18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2"/>
      <c r="P308" s="42"/>
      <c r="Q308" s="75"/>
      <c r="R308" s="16"/>
    </row>
    <row r="309" spans="1:17" ht="18.75" hidden="1">
      <c r="A309" s="51"/>
      <c r="B309" s="51" t="s">
        <v>229</v>
      </c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2"/>
      <c r="P309" s="42"/>
      <c r="Q309" s="75"/>
    </row>
    <row r="310" spans="1:17" ht="18.75" hidden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2"/>
      <c r="P310" s="42"/>
      <c r="Q310" s="75"/>
    </row>
    <row r="311" spans="1:17" ht="93.75" customHeight="1" hidden="1">
      <c r="A311" s="47" t="s">
        <v>151</v>
      </c>
      <c r="B311" s="180" t="s">
        <v>0</v>
      </c>
      <c r="C311" s="180"/>
      <c r="D311" s="180"/>
      <c r="E311" s="208" t="s">
        <v>164</v>
      </c>
      <c r="F311" s="208"/>
      <c r="G311" s="208" t="s">
        <v>186</v>
      </c>
      <c r="H311" s="208"/>
      <c r="I311" s="59" t="s">
        <v>187</v>
      </c>
      <c r="J311" s="59" t="s">
        <v>188</v>
      </c>
      <c r="K311" s="51"/>
      <c r="L311" s="51"/>
      <c r="M311" s="51"/>
      <c r="N311" s="51"/>
      <c r="O311" s="52"/>
      <c r="P311" s="42"/>
      <c r="Q311" s="75"/>
    </row>
    <row r="312" spans="1:17" ht="18.75" hidden="1">
      <c r="A312" s="148">
        <v>1</v>
      </c>
      <c r="B312" s="173">
        <v>2</v>
      </c>
      <c r="C312" s="174"/>
      <c r="D312" s="175"/>
      <c r="E312" s="176">
        <v>3</v>
      </c>
      <c r="F312" s="176"/>
      <c r="G312" s="176">
        <v>4</v>
      </c>
      <c r="H312" s="176"/>
      <c r="I312" s="148">
        <v>5</v>
      </c>
      <c r="J312" s="148">
        <v>6</v>
      </c>
      <c r="K312" s="157"/>
      <c r="L312" s="157"/>
      <c r="M312" s="157"/>
      <c r="N312" s="157"/>
      <c r="O312" s="60"/>
      <c r="P312" s="43"/>
      <c r="Q312" s="75"/>
    </row>
    <row r="313" spans="1:17" ht="18.75" hidden="1">
      <c r="A313" s="47">
        <v>1</v>
      </c>
      <c r="B313" s="180"/>
      <c r="C313" s="180"/>
      <c r="D313" s="180"/>
      <c r="E313" s="176">
        <v>310</v>
      </c>
      <c r="F313" s="176"/>
      <c r="G313" s="181">
        <v>1</v>
      </c>
      <c r="H313" s="181"/>
      <c r="I313" s="50">
        <f>J313/G313</f>
        <v>0</v>
      </c>
      <c r="J313" s="50"/>
      <c r="K313" s="51"/>
      <c r="L313" s="51"/>
      <c r="M313" s="51"/>
      <c r="N313" s="51"/>
      <c r="O313" s="52"/>
      <c r="P313" s="42"/>
      <c r="Q313" s="75"/>
    </row>
    <row r="314" spans="1:17" ht="18.75" hidden="1">
      <c r="A314" s="47">
        <v>2</v>
      </c>
      <c r="B314" s="180"/>
      <c r="C314" s="180"/>
      <c r="D314" s="180"/>
      <c r="E314" s="176">
        <v>310</v>
      </c>
      <c r="F314" s="176"/>
      <c r="G314" s="181">
        <v>1</v>
      </c>
      <c r="H314" s="181"/>
      <c r="I314" s="50">
        <f>J314/G314</f>
        <v>0</v>
      </c>
      <c r="J314" s="50"/>
      <c r="K314" s="51"/>
      <c r="L314" s="51"/>
      <c r="M314" s="51"/>
      <c r="N314" s="51"/>
      <c r="O314" s="52"/>
      <c r="P314" s="42"/>
      <c r="Q314" s="75"/>
    </row>
    <row r="315" spans="1:17" ht="18.75" hidden="1">
      <c r="A315" s="47">
        <v>3</v>
      </c>
      <c r="B315" s="180"/>
      <c r="C315" s="180"/>
      <c r="D315" s="180"/>
      <c r="E315" s="176">
        <v>310</v>
      </c>
      <c r="F315" s="176"/>
      <c r="G315" s="181">
        <v>2</v>
      </c>
      <c r="H315" s="181"/>
      <c r="I315" s="50">
        <f>J315/G315</f>
        <v>0</v>
      </c>
      <c r="J315" s="50"/>
      <c r="K315" s="51"/>
      <c r="L315" s="51"/>
      <c r="M315" s="51"/>
      <c r="N315" s="51"/>
      <c r="O315" s="52"/>
      <c r="P315" s="42"/>
      <c r="Q315" s="75"/>
    </row>
    <row r="316" spans="1:17" ht="18.75" hidden="1">
      <c r="A316" s="47"/>
      <c r="B316" s="215" t="s">
        <v>130</v>
      </c>
      <c r="C316" s="215"/>
      <c r="D316" s="215"/>
      <c r="E316" s="176"/>
      <c r="F316" s="176"/>
      <c r="G316" s="176"/>
      <c r="H316" s="176"/>
      <c r="I316" s="47" t="s">
        <v>7</v>
      </c>
      <c r="J316" s="149">
        <f>SUM(J313:J315)</f>
        <v>0</v>
      </c>
      <c r="K316" s="51"/>
      <c r="L316" s="51"/>
      <c r="M316" s="51"/>
      <c r="N316" s="51"/>
      <c r="O316" s="52"/>
      <c r="P316" s="45"/>
      <c r="Q316" s="75"/>
    </row>
    <row r="317" spans="1:17" ht="18.75" hidden="1">
      <c r="A317" s="51"/>
      <c r="B317" s="51" t="s">
        <v>230</v>
      </c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2"/>
      <c r="P317" s="42"/>
      <c r="Q317" s="75"/>
    </row>
    <row r="318" spans="1:17" ht="18.75" hidden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2"/>
      <c r="P318" s="42"/>
      <c r="Q318" s="75"/>
    </row>
    <row r="319" spans="1:17" ht="56.25" hidden="1">
      <c r="A319" s="47" t="s">
        <v>151</v>
      </c>
      <c r="B319" s="208" t="s">
        <v>0</v>
      </c>
      <c r="C319" s="208"/>
      <c r="D319" s="208"/>
      <c r="E319" s="208" t="s">
        <v>164</v>
      </c>
      <c r="F319" s="208"/>
      <c r="G319" s="208" t="s">
        <v>186</v>
      </c>
      <c r="H319" s="208"/>
      <c r="I319" s="59" t="s">
        <v>187</v>
      </c>
      <c r="J319" s="59" t="s">
        <v>188</v>
      </c>
      <c r="K319" s="51"/>
      <c r="L319" s="51"/>
      <c r="M319" s="51"/>
      <c r="N319" s="51"/>
      <c r="O319" s="52"/>
      <c r="P319" s="42"/>
      <c r="Q319" s="75"/>
    </row>
    <row r="320" spans="1:17" ht="18.75" hidden="1">
      <c r="A320" s="148">
        <v>1</v>
      </c>
      <c r="B320" s="176">
        <v>2</v>
      </c>
      <c r="C320" s="176"/>
      <c r="D320" s="176"/>
      <c r="E320" s="176">
        <v>3</v>
      </c>
      <c r="F320" s="176"/>
      <c r="G320" s="176">
        <v>4</v>
      </c>
      <c r="H320" s="176"/>
      <c r="I320" s="148">
        <v>5</v>
      </c>
      <c r="J320" s="148">
        <v>6</v>
      </c>
      <c r="K320" s="157"/>
      <c r="L320" s="157"/>
      <c r="M320" s="157"/>
      <c r="N320" s="157"/>
      <c r="O320" s="60"/>
      <c r="P320" s="43"/>
      <c r="Q320" s="75"/>
    </row>
    <row r="321" spans="1:17" ht="18.75" hidden="1">
      <c r="A321" s="47">
        <v>1</v>
      </c>
      <c r="B321" s="180" t="s">
        <v>209</v>
      </c>
      <c r="C321" s="180"/>
      <c r="D321" s="180"/>
      <c r="E321" s="176">
        <v>344</v>
      </c>
      <c r="F321" s="176"/>
      <c r="G321" s="176"/>
      <c r="H321" s="176"/>
      <c r="I321" s="50" t="e">
        <f>J321/G321</f>
        <v>#DIV/0!</v>
      </c>
      <c r="J321" s="149"/>
      <c r="K321" s="51"/>
      <c r="L321" s="51"/>
      <c r="M321" s="51"/>
      <c r="N321" s="51"/>
      <c r="O321" s="52"/>
      <c r="P321" s="42"/>
      <c r="Q321" s="75"/>
    </row>
    <row r="322" spans="1:17" ht="18.75" hidden="1">
      <c r="A322" s="47"/>
      <c r="B322" s="215" t="s">
        <v>130</v>
      </c>
      <c r="C322" s="215"/>
      <c r="D322" s="215"/>
      <c r="E322" s="176"/>
      <c r="F322" s="176"/>
      <c r="G322" s="176"/>
      <c r="H322" s="176"/>
      <c r="I322" s="47" t="s">
        <v>7</v>
      </c>
      <c r="J322" s="149">
        <f>SUM(J321:J321)</f>
        <v>0</v>
      </c>
      <c r="K322" s="51"/>
      <c r="L322" s="51"/>
      <c r="M322" s="51"/>
      <c r="N322" s="51"/>
      <c r="O322" s="52"/>
      <c r="P322" s="45"/>
      <c r="Q322" s="75"/>
    </row>
    <row r="323" spans="1:17" ht="18.75" hidden="1">
      <c r="A323" s="51"/>
      <c r="B323" s="51" t="s">
        <v>231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2"/>
      <c r="P323" s="42"/>
      <c r="Q323" s="75"/>
    </row>
    <row r="324" spans="1:17" ht="18.75" hidden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2"/>
      <c r="P324" s="42"/>
      <c r="Q324" s="75"/>
    </row>
    <row r="325" spans="1:17" ht="56.25" hidden="1">
      <c r="A325" s="47" t="s">
        <v>151</v>
      </c>
      <c r="B325" s="208" t="s">
        <v>0</v>
      </c>
      <c r="C325" s="208"/>
      <c r="D325" s="208"/>
      <c r="E325" s="208" t="s">
        <v>164</v>
      </c>
      <c r="F325" s="208"/>
      <c r="G325" s="208" t="s">
        <v>186</v>
      </c>
      <c r="H325" s="208"/>
      <c r="I325" s="59" t="s">
        <v>187</v>
      </c>
      <c r="J325" s="59" t="s">
        <v>188</v>
      </c>
      <c r="K325" s="51"/>
      <c r="L325" s="51"/>
      <c r="M325" s="51"/>
      <c r="N325" s="51"/>
      <c r="O325" s="52"/>
      <c r="P325" s="42"/>
      <c r="Q325" s="75"/>
    </row>
    <row r="326" spans="1:17" ht="18.75" hidden="1">
      <c r="A326" s="148">
        <v>1</v>
      </c>
      <c r="B326" s="176">
        <v>2</v>
      </c>
      <c r="C326" s="176"/>
      <c r="D326" s="176"/>
      <c r="E326" s="176">
        <v>3</v>
      </c>
      <c r="F326" s="176"/>
      <c r="G326" s="176">
        <v>4</v>
      </c>
      <c r="H326" s="176"/>
      <c r="I326" s="148">
        <v>5</v>
      </c>
      <c r="J326" s="148">
        <v>6</v>
      </c>
      <c r="K326" s="157"/>
      <c r="L326" s="157"/>
      <c r="M326" s="157"/>
      <c r="N326" s="157"/>
      <c r="O326" s="60"/>
      <c r="P326" s="43"/>
      <c r="Q326" s="75"/>
    </row>
    <row r="327" spans="1:17" ht="18.75" hidden="1">
      <c r="A327" s="47">
        <v>1</v>
      </c>
      <c r="B327" s="180"/>
      <c r="C327" s="180"/>
      <c r="D327" s="180"/>
      <c r="E327" s="176">
        <v>346</v>
      </c>
      <c r="F327" s="176"/>
      <c r="G327" s="176">
        <v>1</v>
      </c>
      <c r="H327" s="176"/>
      <c r="I327" s="50">
        <f>J327/G327</f>
        <v>0</v>
      </c>
      <c r="J327" s="50"/>
      <c r="K327" s="51"/>
      <c r="L327" s="51"/>
      <c r="M327" s="51"/>
      <c r="N327" s="51"/>
      <c r="O327" s="52"/>
      <c r="P327" s="42"/>
      <c r="Q327" s="75"/>
    </row>
    <row r="328" spans="1:17" ht="18.75" hidden="1">
      <c r="A328" s="47">
        <v>2</v>
      </c>
      <c r="B328" s="180"/>
      <c r="C328" s="180"/>
      <c r="D328" s="180"/>
      <c r="E328" s="176">
        <v>346</v>
      </c>
      <c r="F328" s="176"/>
      <c r="G328" s="176">
        <v>1</v>
      </c>
      <c r="H328" s="176"/>
      <c r="I328" s="50">
        <f>J328/G328</f>
        <v>0</v>
      </c>
      <c r="J328" s="50"/>
      <c r="K328" s="51"/>
      <c r="L328" s="51"/>
      <c r="M328" s="51"/>
      <c r="N328" s="51"/>
      <c r="O328" s="52"/>
      <c r="P328" s="42"/>
      <c r="Q328" s="75"/>
    </row>
    <row r="329" spans="1:17" ht="18.75" hidden="1">
      <c r="A329" s="47">
        <v>3</v>
      </c>
      <c r="B329" s="180"/>
      <c r="C329" s="180"/>
      <c r="D329" s="180"/>
      <c r="E329" s="176">
        <v>346</v>
      </c>
      <c r="F329" s="176"/>
      <c r="G329" s="176">
        <v>1</v>
      </c>
      <c r="H329" s="176"/>
      <c r="I329" s="50">
        <f>J329/G329</f>
        <v>0</v>
      </c>
      <c r="J329" s="50"/>
      <c r="K329" s="51"/>
      <c r="L329" s="51"/>
      <c r="M329" s="51"/>
      <c r="N329" s="51"/>
      <c r="O329" s="52"/>
      <c r="P329" s="42"/>
      <c r="Q329" s="75"/>
    </row>
    <row r="330" spans="1:17" ht="18.75" hidden="1">
      <c r="A330" s="47"/>
      <c r="B330" s="215" t="s">
        <v>130</v>
      </c>
      <c r="C330" s="215"/>
      <c r="D330" s="215"/>
      <c r="E330" s="176"/>
      <c r="F330" s="176"/>
      <c r="G330" s="176"/>
      <c r="H330" s="176"/>
      <c r="I330" s="47" t="s">
        <v>7</v>
      </c>
      <c r="J330" s="50">
        <f>SUM(J327:J329)</f>
        <v>0</v>
      </c>
      <c r="K330" s="51"/>
      <c r="L330" s="51"/>
      <c r="M330" s="51"/>
      <c r="N330" s="51"/>
      <c r="O330" s="52"/>
      <c r="P330" s="44"/>
      <c r="Q330" s="75"/>
    </row>
    <row r="331" spans="1:17" ht="18.75" hidden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2"/>
      <c r="P331" s="42"/>
      <c r="Q331" s="75"/>
    </row>
    <row r="332" spans="1:17" ht="18.75" hidden="1">
      <c r="A332" s="51"/>
      <c r="B332" s="51" t="s">
        <v>334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2"/>
      <c r="P332" s="42"/>
      <c r="Q332" s="75"/>
    </row>
    <row r="333" spans="1:17" ht="18.75" hidden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2"/>
      <c r="P333" s="42"/>
      <c r="Q333" s="75"/>
    </row>
    <row r="334" spans="1:17" ht="18.75" hidden="1">
      <c r="A334" s="34"/>
      <c r="B334" s="51" t="s">
        <v>176</v>
      </c>
      <c r="C334" s="51"/>
      <c r="D334" s="110">
        <v>850</v>
      </c>
      <c r="E334" s="110"/>
      <c r="F334" s="54"/>
      <c r="G334" s="54"/>
      <c r="H334" s="51"/>
      <c r="I334" s="51"/>
      <c r="J334" s="51"/>
      <c r="K334" s="51"/>
      <c r="L334" s="51"/>
      <c r="M334" s="51"/>
      <c r="N334" s="51"/>
      <c r="O334" s="52"/>
      <c r="P334" s="42"/>
      <c r="Q334" s="75"/>
    </row>
    <row r="335" spans="1:17" ht="18.75" hidden="1">
      <c r="A335" s="34"/>
      <c r="B335" s="51" t="s">
        <v>149</v>
      </c>
      <c r="C335" s="51"/>
      <c r="D335" s="81"/>
      <c r="E335" s="54"/>
      <c r="F335" s="81"/>
      <c r="G335" s="110" t="s">
        <v>150</v>
      </c>
      <c r="H335" s="51"/>
      <c r="I335" s="51"/>
      <c r="J335" s="51"/>
      <c r="K335" s="51"/>
      <c r="L335" s="51"/>
      <c r="M335" s="51"/>
      <c r="N335" s="51"/>
      <c r="O335" s="52"/>
      <c r="P335" s="42"/>
      <c r="Q335" s="75"/>
    </row>
    <row r="336" spans="1:17" ht="18.75" hidden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2"/>
      <c r="P336" s="42"/>
      <c r="Q336" s="75"/>
    </row>
    <row r="337" spans="1:17" ht="18.75" hidden="1">
      <c r="A337" s="51"/>
      <c r="B337" s="55" t="s">
        <v>393</v>
      </c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1"/>
      <c r="O337" s="52"/>
      <c r="P337" s="42"/>
      <c r="Q337" s="75"/>
    </row>
    <row r="338" spans="1:17" ht="18.75" hidden="1">
      <c r="A338" s="34"/>
      <c r="B338" s="51" t="s">
        <v>176</v>
      </c>
      <c r="C338" s="51"/>
      <c r="D338" s="110">
        <v>851</v>
      </c>
      <c r="E338" s="110"/>
      <c r="F338" s="54"/>
      <c r="G338" s="54"/>
      <c r="H338" s="51"/>
      <c r="I338" s="51"/>
      <c r="J338" s="51"/>
      <c r="K338" s="56"/>
      <c r="L338" s="56"/>
      <c r="M338" s="56"/>
      <c r="N338" s="51"/>
      <c r="O338" s="52"/>
      <c r="P338" s="42"/>
      <c r="Q338" s="75"/>
    </row>
    <row r="339" spans="1:17" ht="18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1"/>
      <c r="O339" s="52"/>
      <c r="P339" s="42"/>
      <c r="Q339" s="75"/>
    </row>
    <row r="340" spans="1:17" ht="93.75">
      <c r="A340" s="47" t="s">
        <v>151</v>
      </c>
      <c r="B340" s="208" t="s">
        <v>0</v>
      </c>
      <c r="C340" s="208"/>
      <c r="D340" s="208"/>
      <c r="E340" s="208" t="s">
        <v>164</v>
      </c>
      <c r="F340" s="208"/>
      <c r="G340" s="208" t="s">
        <v>210</v>
      </c>
      <c r="H340" s="208"/>
      <c r="I340" s="59" t="s">
        <v>211</v>
      </c>
      <c r="J340" s="59" t="s">
        <v>212</v>
      </c>
      <c r="K340" s="51"/>
      <c r="L340" s="51"/>
      <c r="M340" s="51"/>
      <c r="N340" s="51"/>
      <c r="O340" s="52"/>
      <c r="P340" s="42"/>
      <c r="Q340" s="75"/>
    </row>
    <row r="341" spans="1:17" ht="18.75">
      <c r="A341" s="148">
        <v>1</v>
      </c>
      <c r="B341" s="176">
        <v>2</v>
      </c>
      <c r="C341" s="176"/>
      <c r="D341" s="176"/>
      <c r="E341" s="176">
        <v>3</v>
      </c>
      <c r="F341" s="176"/>
      <c r="G341" s="176">
        <v>4</v>
      </c>
      <c r="H341" s="176"/>
      <c r="I341" s="148">
        <v>5</v>
      </c>
      <c r="J341" s="148">
        <v>6</v>
      </c>
      <c r="K341" s="157"/>
      <c r="L341" s="157"/>
      <c r="M341" s="157"/>
      <c r="N341" s="157"/>
      <c r="O341" s="60"/>
      <c r="P341" s="43"/>
      <c r="Q341" s="75"/>
    </row>
    <row r="342" spans="1:17" ht="18.75">
      <c r="A342" s="47">
        <v>1</v>
      </c>
      <c r="B342" s="182" t="s">
        <v>328</v>
      </c>
      <c r="C342" s="183"/>
      <c r="D342" s="184"/>
      <c r="E342" s="173">
        <v>291</v>
      </c>
      <c r="F342" s="175"/>
      <c r="G342" s="190">
        <v>28876905</v>
      </c>
      <c r="H342" s="191"/>
      <c r="I342" s="62">
        <v>0.015</v>
      </c>
      <c r="J342" s="50">
        <v>433154</v>
      </c>
      <c r="K342" s="157"/>
      <c r="L342" s="157"/>
      <c r="M342" s="157"/>
      <c r="N342" s="157"/>
      <c r="O342" s="60"/>
      <c r="P342" s="75">
        <v>116346</v>
      </c>
      <c r="Q342" s="75"/>
    </row>
    <row r="343" spans="1:17" ht="18.75">
      <c r="A343" s="47">
        <v>2</v>
      </c>
      <c r="B343" s="182" t="s">
        <v>213</v>
      </c>
      <c r="C343" s="183"/>
      <c r="D343" s="184"/>
      <c r="E343" s="176">
        <v>291</v>
      </c>
      <c r="F343" s="176"/>
      <c r="G343" s="190">
        <v>734960</v>
      </c>
      <c r="H343" s="191"/>
      <c r="I343" s="62">
        <v>0.022</v>
      </c>
      <c r="J343" s="50">
        <v>9309</v>
      </c>
      <c r="K343" s="51"/>
      <c r="L343" s="51"/>
      <c r="M343" s="51"/>
      <c r="N343" s="51"/>
      <c r="O343" s="52"/>
      <c r="P343" s="42"/>
      <c r="Q343" s="75"/>
    </row>
    <row r="344" spans="1:17" ht="18.75">
      <c r="A344" s="47"/>
      <c r="B344" s="176" t="s">
        <v>130</v>
      </c>
      <c r="C344" s="176"/>
      <c r="D344" s="176"/>
      <c r="E344" s="176"/>
      <c r="F344" s="176"/>
      <c r="G344" s="176"/>
      <c r="H344" s="176"/>
      <c r="I344" s="47" t="s">
        <v>7</v>
      </c>
      <c r="J344" s="50">
        <f>SUM(J342:J343)</f>
        <v>442463</v>
      </c>
      <c r="K344" s="51"/>
      <c r="L344" s="51"/>
      <c r="M344" s="51"/>
      <c r="N344" s="51"/>
      <c r="O344" s="52"/>
      <c r="P344" s="42"/>
      <c r="Q344" s="75"/>
    </row>
    <row r="345" spans="1:17" ht="18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1"/>
      <c r="O345" s="52"/>
      <c r="P345" s="44"/>
      <c r="Q345" s="75"/>
    </row>
    <row r="346" spans="1:17" ht="93.75">
      <c r="A346" s="47" t="s">
        <v>151</v>
      </c>
      <c r="B346" s="208" t="s">
        <v>0</v>
      </c>
      <c r="C346" s="208"/>
      <c r="D346" s="208"/>
      <c r="E346" s="208" t="s">
        <v>164</v>
      </c>
      <c r="F346" s="208"/>
      <c r="G346" s="208" t="s">
        <v>210</v>
      </c>
      <c r="H346" s="208"/>
      <c r="I346" s="59" t="s">
        <v>211</v>
      </c>
      <c r="J346" s="59" t="s">
        <v>212</v>
      </c>
      <c r="K346" s="51"/>
      <c r="L346" s="51"/>
      <c r="M346" s="51"/>
      <c r="N346" s="51"/>
      <c r="O346" s="52"/>
      <c r="P346" s="44"/>
      <c r="Q346" s="75"/>
    </row>
    <row r="347" spans="1:17" ht="18.75">
      <c r="A347" s="148">
        <v>1</v>
      </c>
      <c r="B347" s="176">
        <v>2</v>
      </c>
      <c r="C347" s="176"/>
      <c r="D347" s="176"/>
      <c r="E347" s="176">
        <v>3</v>
      </c>
      <c r="F347" s="176"/>
      <c r="G347" s="176">
        <v>4</v>
      </c>
      <c r="H347" s="176"/>
      <c r="I347" s="148">
        <v>5</v>
      </c>
      <c r="J347" s="148">
        <v>6</v>
      </c>
      <c r="K347" s="157"/>
      <c r="L347" s="157"/>
      <c r="M347" s="157"/>
      <c r="N347" s="157"/>
      <c r="O347" s="60"/>
      <c r="P347" s="44"/>
      <c r="Q347" s="75"/>
    </row>
    <row r="348" spans="1:17" ht="18.75">
      <c r="A348" s="47">
        <v>1</v>
      </c>
      <c r="B348" s="182" t="s">
        <v>214</v>
      </c>
      <c r="C348" s="183"/>
      <c r="D348" s="184"/>
      <c r="E348" s="176">
        <v>291</v>
      </c>
      <c r="F348" s="176"/>
      <c r="G348" s="190">
        <f>J348/I348</f>
        <v>2192.175</v>
      </c>
      <c r="H348" s="191"/>
      <c r="I348" s="148">
        <v>4</v>
      </c>
      <c r="J348" s="50">
        <f>10519-3316.4+1566.1</f>
        <v>8768.7</v>
      </c>
      <c r="K348" s="51"/>
      <c r="L348" s="51"/>
      <c r="M348" s="51"/>
      <c r="N348" s="51"/>
      <c r="O348" s="52"/>
      <c r="P348" s="44"/>
      <c r="Q348" s="75"/>
    </row>
    <row r="349" spans="1:17" ht="18.75">
      <c r="A349" s="47"/>
      <c r="B349" s="176" t="s">
        <v>130</v>
      </c>
      <c r="C349" s="176"/>
      <c r="D349" s="176"/>
      <c r="E349" s="176"/>
      <c r="F349" s="176"/>
      <c r="G349" s="176"/>
      <c r="H349" s="176"/>
      <c r="I349" s="47" t="s">
        <v>7</v>
      </c>
      <c r="J349" s="50">
        <f>SUM(J348:J348)</f>
        <v>8768.7</v>
      </c>
      <c r="K349" s="51"/>
      <c r="L349" s="51"/>
      <c r="M349" s="51"/>
      <c r="N349" s="51"/>
      <c r="O349" s="52"/>
      <c r="P349" s="44"/>
      <c r="Q349" s="75"/>
    </row>
    <row r="350" spans="1:17" ht="18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2"/>
      <c r="P350" s="42"/>
      <c r="Q350" s="75"/>
    </row>
    <row r="351" spans="1:17" ht="18.75" hidden="1">
      <c r="A351" s="51"/>
      <c r="B351" s="55" t="s">
        <v>232</v>
      </c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1"/>
      <c r="O351" s="52"/>
      <c r="P351" s="42"/>
      <c r="Q351" s="75"/>
    </row>
    <row r="352" spans="1:17" ht="18.75" hidden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1"/>
      <c r="O352" s="52"/>
      <c r="P352" s="42"/>
      <c r="Q352" s="75"/>
    </row>
    <row r="353" spans="1:17" ht="93" customHeight="1" hidden="1">
      <c r="A353" s="47" t="s">
        <v>151</v>
      </c>
      <c r="B353" s="208" t="s">
        <v>0</v>
      </c>
      <c r="C353" s="208"/>
      <c r="D353" s="208"/>
      <c r="E353" s="208" t="s">
        <v>164</v>
      </c>
      <c r="F353" s="208"/>
      <c r="G353" s="208" t="s">
        <v>210</v>
      </c>
      <c r="H353" s="208"/>
      <c r="I353" s="59" t="s">
        <v>211</v>
      </c>
      <c r="J353" s="59" t="s">
        <v>212</v>
      </c>
      <c r="K353" s="51"/>
      <c r="L353" s="51"/>
      <c r="M353" s="51"/>
      <c r="N353" s="51"/>
      <c r="O353" s="52"/>
      <c r="P353" s="42"/>
      <c r="Q353" s="75"/>
    </row>
    <row r="354" spans="1:17" ht="18.75" hidden="1">
      <c r="A354" s="47">
        <v>1</v>
      </c>
      <c r="B354" s="180" t="s">
        <v>215</v>
      </c>
      <c r="C354" s="180"/>
      <c r="D354" s="180"/>
      <c r="E354" s="176">
        <v>295</v>
      </c>
      <c r="F354" s="176"/>
      <c r="G354" s="216"/>
      <c r="H354" s="216"/>
      <c r="I354" s="47"/>
      <c r="J354" s="50"/>
      <c r="K354" s="51"/>
      <c r="L354" s="51"/>
      <c r="M354" s="51"/>
      <c r="N354" s="51"/>
      <c r="O354" s="52"/>
      <c r="P354" s="42"/>
      <c r="Q354" s="75"/>
    </row>
    <row r="355" spans="1:17" ht="18.75" hidden="1">
      <c r="A355" s="47"/>
      <c r="B355" s="215" t="s">
        <v>130</v>
      </c>
      <c r="C355" s="215"/>
      <c r="D355" s="215"/>
      <c r="E355" s="176"/>
      <c r="F355" s="176"/>
      <c r="G355" s="176"/>
      <c r="H355" s="176"/>
      <c r="I355" s="47" t="s">
        <v>7</v>
      </c>
      <c r="J355" s="50">
        <f>SUM(J354:J354)</f>
        <v>0</v>
      </c>
      <c r="K355" s="51"/>
      <c r="L355" s="51"/>
      <c r="M355" s="51"/>
      <c r="N355" s="51"/>
      <c r="O355" s="52"/>
      <c r="P355" s="44"/>
      <c r="Q355" s="75"/>
    </row>
    <row r="356" spans="1:17" ht="18.75" hidden="1">
      <c r="A356" s="54"/>
      <c r="B356" s="115"/>
      <c r="C356" s="115"/>
      <c r="D356" s="115"/>
      <c r="E356" s="53"/>
      <c r="F356" s="53"/>
      <c r="G356" s="53"/>
      <c r="H356" s="53"/>
      <c r="I356" s="54"/>
      <c r="J356" s="61"/>
      <c r="K356" s="51"/>
      <c r="L356" s="51"/>
      <c r="M356" s="51"/>
      <c r="N356" s="51"/>
      <c r="O356" s="52"/>
      <c r="P356" s="44"/>
      <c r="Q356" s="75"/>
    </row>
    <row r="357" spans="1:17" ht="18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2"/>
      <c r="P357" s="44"/>
      <c r="Q357" s="75"/>
    </row>
    <row r="358" spans="1:17" ht="56.25">
      <c r="A358" s="47" t="s">
        <v>151</v>
      </c>
      <c r="B358" s="208" t="s">
        <v>0</v>
      </c>
      <c r="C358" s="208"/>
      <c r="D358" s="208"/>
      <c r="E358" s="208" t="s">
        <v>164</v>
      </c>
      <c r="F358" s="208"/>
      <c r="G358" s="208" t="s">
        <v>186</v>
      </c>
      <c r="H358" s="208"/>
      <c r="I358" s="59" t="s">
        <v>187</v>
      </c>
      <c r="J358" s="59" t="s">
        <v>216</v>
      </c>
      <c r="K358" s="51"/>
      <c r="L358" s="51"/>
      <c r="M358" s="51"/>
      <c r="N358" s="51"/>
      <c r="O358" s="52"/>
      <c r="P358" s="44"/>
      <c r="Q358" s="75"/>
    </row>
    <row r="359" spans="1:17" ht="18.75">
      <c r="A359" s="148">
        <v>1</v>
      </c>
      <c r="B359" s="176">
        <v>2</v>
      </c>
      <c r="C359" s="176"/>
      <c r="D359" s="176"/>
      <c r="E359" s="176">
        <v>3</v>
      </c>
      <c r="F359" s="176"/>
      <c r="G359" s="176">
        <v>4</v>
      </c>
      <c r="H359" s="176"/>
      <c r="I359" s="148">
        <v>5</v>
      </c>
      <c r="J359" s="148">
        <v>6</v>
      </c>
      <c r="K359" s="157"/>
      <c r="L359" s="51"/>
      <c r="M359" s="51"/>
      <c r="N359" s="51"/>
      <c r="O359" s="52"/>
      <c r="P359" s="44"/>
      <c r="Q359" s="75"/>
    </row>
    <row r="360" spans="1:17" ht="18.75">
      <c r="A360" s="47">
        <v>1</v>
      </c>
      <c r="B360" s="180" t="s">
        <v>366</v>
      </c>
      <c r="C360" s="180"/>
      <c r="D360" s="180"/>
      <c r="E360" s="176">
        <v>310</v>
      </c>
      <c r="F360" s="176"/>
      <c r="G360" s="176">
        <v>20</v>
      </c>
      <c r="H360" s="176"/>
      <c r="I360" s="50">
        <f>J360/G360</f>
        <v>5000</v>
      </c>
      <c r="J360" s="50">
        <f>100000</f>
        <v>100000</v>
      </c>
      <c r="K360" s="51"/>
      <c r="L360" s="51"/>
      <c r="M360" s="51"/>
      <c r="N360" s="51"/>
      <c r="O360" s="52"/>
      <c r="P360" s="44"/>
      <c r="Q360" s="75"/>
    </row>
    <row r="361" spans="1:17" ht="18.75">
      <c r="A361" s="47"/>
      <c r="B361" s="173" t="s">
        <v>130</v>
      </c>
      <c r="C361" s="174"/>
      <c r="D361" s="175"/>
      <c r="E361" s="176"/>
      <c r="F361" s="176"/>
      <c r="G361" s="176"/>
      <c r="H361" s="176"/>
      <c r="I361" s="47" t="s">
        <v>7</v>
      </c>
      <c r="J361" s="50">
        <f>SUM(J360:J360)</f>
        <v>100000</v>
      </c>
      <c r="K361" s="51"/>
      <c r="L361" s="51"/>
      <c r="M361" s="51"/>
      <c r="N361" s="51"/>
      <c r="O361" s="52"/>
      <c r="P361" s="44"/>
      <c r="Q361" s="75"/>
    </row>
    <row r="362" spans="1:17" ht="18.75">
      <c r="A362" s="54"/>
      <c r="B362" s="115"/>
      <c r="C362" s="115"/>
      <c r="D362" s="115"/>
      <c r="E362" s="53"/>
      <c r="F362" s="53"/>
      <c r="G362" s="53"/>
      <c r="H362" s="53"/>
      <c r="I362" s="54"/>
      <c r="J362" s="61"/>
      <c r="K362" s="51"/>
      <c r="L362" s="51"/>
      <c r="M362" s="51"/>
      <c r="N362" s="51"/>
      <c r="O362" s="52"/>
      <c r="P362" s="44"/>
      <c r="Q362" s="75"/>
    </row>
    <row r="363" spans="1:17" ht="18.75">
      <c r="A363" s="51"/>
      <c r="B363" s="51" t="s">
        <v>394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2"/>
      <c r="P363" s="44"/>
      <c r="Q363" s="75"/>
    </row>
    <row r="364" spans="1:17" ht="18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2"/>
      <c r="P364" s="44"/>
      <c r="Q364" s="75"/>
    </row>
    <row r="365" spans="1:17" ht="56.25">
      <c r="A365" s="47" t="s">
        <v>151</v>
      </c>
      <c r="B365" s="208" t="s">
        <v>0</v>
      </c>
      <c r="C365" s="208"/>
      <c r="D365" s="208"/>
      <c r="E365" s="208" t="s">
        <v>164</v>
      </c>
      <c r="F365" s="208"/>
      <c r="G365" s="208" t="s">
        <v>186</v>
      </c>
      <c r="H365" s="208"/>
      <c r="I365" s="59" t="s">
        <v>187</v>
      </c>
      <c r="J365" s="59" t="s">
        <v>216</v>
      </c>
      <c r="K365" s="51"/>
      <c r="L365" s="51"/>
      <c r="M365" s="51"/>
      <c r="N365" s="51"/>
      <c r="O365" s="52"/>
      <c r="P365" s="44"/>
      <c r="Q365" s="75"/>
    </row>
    <row r="366" spans="1:17" ht="18.75">
      <c r="A366" s="148">
        <v>1</v>
      </c>
      <c r="B366" s="176">
        <v>2</v>
      </c>
      <c r="C366" s="176"/>
      <c r="D366" s="176"/>
      <c r="E366" s="176">
        <v>3</v>
      </c>
      <c r="F366" s="176"/>
      <c r="G366" s="176">
        <v>4</v>
      </c>
      <c r="H366" s="176"/>
      <c r="I366" s="148">
        <v>5</v>
      </c>
      <c r="J366" s="148">
        <v>6</v>
      </c>
      <c r="K366" s="157"/>
      <c r="L366" s="51"/>
      <c r="M366" s="51"/>
      <c r="N366" s="51"/>
      <c r="O366" s="52"/>
      <c r="P366" s="44"/>
      <c r="Q366" s="75"/>
    </row>
    <row r="367" spans="1:17" ht="45" customHeight="1">
      <c r="A367" s="47">
        <v>1</v>
      </c>
      <c r="B367" s="180" t="s">
        <v>296</v>
      </c>
      <c r="C367" s="180"/>
      <c r="D367" s="180"/>
      <c r="E367" s="176">
        <v>344</v>
      </c>
      <c r="F367" s="176"/>
      <c r="G367" s="176">
        <v>200</v>
      </c>
      <c r="H367" s="176"/>
      <c r="I367" s="50">
        <f>J367/G367</f>
        <v>284.064</v>
      </c>
      <c r="J367" s="50">
        <f>100000-42514-673.2</f>
        <v>56812.8</v>
      </c>
      <c r="K367" s="51"/>
      <c r="L367" s="51"/>
      <c r="M367" s="51"/>
      <c r="N367" s="51"/>
      <c r="O367" s="52"/>
      <c r="P367" s="44"/>
      <c r="Q367" s="75"/>
    </row>
    <row r="368" spans="1:17" ht="18.75">
      <c r="A368" s="47"/>
      <c r="B368" s="173" t="s">
        <v>130</v>
      </c>
      <c r="C368" s="174"/>
      <c r="D368" s="175"/>
      <c r="E368" s="176"/>
      <c r="F368" s="176"/>
      <c r="G368" s="176"/>
      <c r="H368" s="176"/>
      <c r="I368" s="47" t="s">
        <v>7</v>
      </c>
      <c r="J368" s="50">
        <f>SUM(J367:J367)</f>
        <v>56812.8</v>
      </c>
      <c r="K368" s="51"/>
      <c r="L368" s="51"/>
      <c r="M368" s="51"/>
      <c r="N368" s="51"/>
      <c r="O368" s="52"/>
      <c r="P368" s="44"/>
      <c r="Q368" s="75"/>
    </row>
    <row r="369" spans="1:17" ht="18.75">
      <c r="A369" s="54"/>
      <c r="B369" s="115"/>
      <c r="C369" s="115"/>
      <c r="D369" s="115"/>
      <c r="E369" s="53"/>
      <c r="F369" s="53"/>
      <c r="G369" s="53"/>
      <c r="H369" s="53"/>
      <c r="I369" s="54"/>
      <c r="J369" s="61"/>
      <c r="K369" s="51"/>
      <c r="L369" s="51"/>
      <c r="M369" s="51"/>
      <c r="N369" s="51"/>
      <c r="O369" s="52"/>
      <c r="P369" s="44"/>
      <c r="Q369" s="75"/>
    </row>
    <row r="370" spans="1:17" ht="18.75">
      <c r="A370" s="51"/>
      <c r="B370" s="51" t="s">
        <v>395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2"/>
      <c r="P370" s="44"/>
      <c r="Q370" s="75"/>
    </row>
    <row r="371" spans="1:17" ht="18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2"/>
      <c r="P371" s="44"/>
      <c r="Q371" s="75"/>
    </row>
    <row r="372" spans="1:17" ht="56.25">
      <c r="A372" s="47" t="s">
        <v>151</v>
      </c>
      <c r="B372" s="208" t="s">
        <v>0</v>
      </c>
      <c r="C372" s="208"/>
      <c r="D372" s="208"/>
      <c r="E372" s="208" t="s">
        <v>164</v>
      </c>
      <c r="F372" s="208"/>
      <c r="G372" s="208" t="s">
        <v>308</v>
      </c>
      <c r="H372" s="208"/>
      <c r="I372" s="59" t="s">
        <v>187</v>
      </c>
      <c r="J372" s="59" t="s">
        <v>216</v>
      </c>
      <c r="K372" s="51"/>
      <c r="L372" s="51"/>
      <c r="M372" s="51"/>
      <c r="N372" s="51"/>
      <c r="O372" s="52"/>
      <c r="P372" s="44"/>
      <c r="Q372" s="75"/>
    </row>
    <row r="373" spans="1:17" ht="18.75">
      <c r="A373" s="148">
        <v>1</v>
      </c>
      <c r="B373" s="176">
        <v>2</v>
      </c>
      <c r="C373" s="176"/>
      <c r="D373" s="176"/>
      <c r="E373" s="176">
        <v>3</v>
      </c>
      <c r="F373" s="176"/>
      <c r="G373" s="176">
        <v>4</v>
      </c>
      <c r="H373" s="176"/>
      <c r="I373" s="148">
        <v>5</v>
      </c>
      <c r="J373" s="148">
        <v>6</v>
      </c>
      <c r="K373" s="157"/>
      <c r="L373" s="51"/>
      <c r="M373" s="51"/>
      <c r="N373" s="51"/>
      <c r="O373" s="52"/>
      <c r="P373" s="44"/>
      <c r="Q373" s="75"/>
    </row>
    <row r="374" spans="1:17" ht="48.75" customHeight="1">
      <c r="A374" s="47">
        <v>1</v>
      </c>
      <c r="B374" s="182" t="s">
        <v>339</v>
      </c>
      <c r="C374" s="183"/>
      <c r="D374" s="184"/>
      <c r="E374" s="173">
        <v>346</v>
      </c>
      <c r="F374" s="175"/>
      <c r="G374" s="173">
        <v>10</v>
      </c>
      <c r="H374" s="175"/>
      <c r="I374" s="50">
        <f>J374/G374</f>
        <v>67.32000000000001</v>
      </c>
      <c r="J374" s="50">
        <f>673.2</f>
        <v>673.2</v>
      </c>
      <c r="K374" s="51"/>
      <c r="L374" s="51"/>
      <c r="M374" s="51"/>
      <c r="N374" s="51"/>
      <c r="O374" s="52"/>
      <c r="P374" s="44"/>
      <c r="Q374" s="75"/>
    </row>
    <row r="375" spans="1:17" ht="18.75">
      <c r="A375" s="47"/>
      <c r="B375" s="173" t="s">
        <v>130</v>
      </c>
      <c r="C375" s="174"/>
      <c r="D375" s="175"/>
      <c r="E375" s="176"/>
      <c r="F375" s="176"/>
      <c r="G375" s="176"/>
      <c r="H375" s="176"/>
      <c r="I375" s="47" t="s">
        <v>7</v>
      </c>
      <c r="J375" s="50">
        <f>SUM(J374:J374)</f>
        <v>673.2</v>
      </c>
      <c r="K375" s="51"/>
      <c r="L375" s="51"/>
      <c r="M375" s="51"/>
      <c r="N375" s="51"/>
      <c r="O375" s="52"/>
      <c r="P375" s="44"/>
      <c r="Q375" s="75"/>
    </row>
    <row r="376" spans="1:17" ht="18.75">
      <c r="A376" s="54"/>
      <c r="B376" s="115"/>
      <c r="C376" s="115"/>
      <c r="D376" s="115"/>
      <c r="E376" s="53"/>
      <c r="F376" s="53"/>
      <c r="G376" s="53"/>
      <c r="H376" s="53"/>
      <c r="I376" s="54"/>
      <c r="J376" s="61"/>
      <c r="K376" s="51"/>
      <c r="L376" s="51"/>
      <c r="M376" s="51"/>
      <c r="N376" s="51"/>
      <c r="O376" s="52"/>
      <c r="P376" s="44"/>
      <c r="Q376" s="75"/>
    </row>
    <row r="377" spans="1:17" ht="18.75">
      <c r="A377" s="51"/>
      <c r="B377" s="51" t="s">
        <v>396</v>
      </c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2"/>
      <c r="P377" s="44"/>
      <c r="Q377" s="75"/>
    </row>
    <row r="378" spans="1:17" ht="18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2"/>
      <c r="P378" s="44"/>
      <c r="Q378" s="75"/>
    </row>
    <row r="379" spans="1:17" ht="56.25">
      <c r="A379" s="47" t="s">
        <v>151</v>
      </c>
      <c r="B379" s="208" t="s">
        <v>0</v>
      </c>
      <c r="C379" s="208"/>
      <c r="D379" s="208"/>
      <c r="E379" s="208" t="s">
        <v>164</v>
      </c>
      <c r="F379" s="208"/>
      <c r="G379" s="208" t="s">
        <v>186</v>
      </c>
      <c r="H379" s="208"/>
      <c r="I379" s="59" t="s">
        <v>187</v>
      </c>
      <c r="J379" s="59" t="s">
        <v>216</v>
      </c>
      <c r="K379" s="51"/>
      <c r="L379" s="51"/>
      <c r="M379" s="51"/>
      <c r="N379" s="51"/>
      <c r="O379" s="52"/>
      <c r="P379" s="44"/>
      <c r="Q379" s="75"/>
    </row>
    <row r="380" spans="1:17" ht="18.75">
      <c r="A380" s="148">
        <v>1</v>
      </c>
      <c r="B380" s="176">
        <v>2</v>
      </c>
      <c r="C380" s="176"/>
      <c r="D380" s="176"/>
      <c r="E380" s="176">
        <v>3</v>
      </c>
      <c r="F380" s="176"/>
      <c r="G380" s="176">
        <v>4</v>
      </c>
      <c r="H380" s="176"/>
      <c r="I380" s="148">
        <v>5</v>
      </c>
      <c r="J380" s="148">
        <v>6</v>
      </c>
      <c r="K380" s="157"/>
      <c r="L380" s="51"/>
      <c r="M380" s="51"/>
      <c r="N380" s="51"/>
      <c r="O380" s="52"/>
      <c r="P380" s="44"/>
      <c r="Q380" s="75"/>
    </row>
    <row r="381" spans="1:17" ht="18.75">
      <c r="A381" s="47">
        <v>1</v>
      </c>
      <c r="B381" s="180" t="s">
        <v>379</v>
      </c>
      <c r="C381" s="180"/>
      <c r="D381" s="180"/>
      <c r="E381" s="176">
        <v>349</v>
      </c>
      <c r="F381" s="176"/>
      <c r="G381" s="176">
        <v>0</v>
      </c>
      <c r="H381" s="176"/>
      <c r="I381" s="50" t="e">
        <f>J381/G381</f>
        <v>#DIV/0!</v>
      </c>
      <c r="J381" s="50">
        <v>0</v>
      </c>
      <c r="K381" s="51"/>
      <c r="L381" s="51"/>
      <c r="M381" s="51"/>
      <c r="N381" s="51"/>
      <c r="O381" s="52"/>
      <c r="P381" s="44"/>
      <c r="Q381" s="75"/>
    </row>
    <row r="382" spans="1:17" ht="18.75">
      <c r="A382" s="47"/>
      <c r="B382" s="173" t="s">
        <v>130</v>
      </c>
      <c r="C382" s="174"/>
      <c r="D382" s="175"/>
      <c r="E382" s="176"/>
      <c r="F382" s="176"/>
      <c r="G382" s="176"/>
      <c r="H382" s="176"/>
      <c r="I382" s="47" t="s">
        <v>7</v>
      </c>
      <c r="J382" s="50">
        <f>SUM(J381:J381)</f>
        <v>0</v>
      </c>
      <c r="K382" s="51"/>
      <c r="L382" s="51"/>
      <c r="M382" s="51"/>
      <c r="N382" s="51"/>
      <c r="O382" s="52"/>
      <c r="P382" s="44"/>
      <c r="Q382" s="75"/>
    </row>
    <row r="383" spans="1:17" ht="18.75">
      <c r="A383" s="54"/>
      <c r="B383" s="115"/>
      <c r="C383" s="115"/>
      <c r="D383" s="115"/>
      <c r="E383" s="53"/>
      <c r="F383" s="53"/>
      <c r="G383" s="53"/>
      <c r="H383" s="53"/>
      <c r="I383" s="54"/>
      <c r="J383" s="61"/>
      <c r="K383" s="51"/>
      <c r="L383" s="51"/>
      <c r="M383" s="51"/>
      <c r="N383" s="51"/>
      <c r="O383" s="52"/>
      <c r="P383" s="44"/>
      <c r="Q383" s="75"/>
    </row>
    <row r="384" spans="1:19" ht="18.75">
      <c r="A384" s="51"/>
      <c r="B384" s="51" t="s">
        <v>267</v>
      </c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2"/>
      <c r="P384" s="42"/>
      <c r="Q384" s="75"/>
      <c r="R384" s="8"/>
      <c r="S384" s="77"/>
    </row>
    <row r="385" spans="1:19" ht="18.75">
      <c r="A385" s="34"/>
      <c r="B385" s="51" t="s">
        <v>176</v>
      </c>
      <c r="C385" s="51"/>
      <c r="D385" s="110">
        <v>244</v>
      </c>
      <c r="E385" s="110"/>
      <c r="F385" s="110"/>
      <c r="G385" s="54"/>
      <c r="H385" s="51"/>
      <c r="I385" s="51"/>
      <c r="J385" s="51"/>
      <c r="K385" s="51"/>
      <c r="L385" s="51"/>
      <c r="M385" s="51"/>
      <c r="N385" s="51"/>
      <c r="O385" s="52"/>
      <c r="P385" s="42"/>
      <c r="Q385" s="75"/>
      <c r="R385" s="8"/>
      <c r="S385" s="77"/>
    </row>
    <row r="386" spans="1:19" ht="18.75">
      <c r="A386" s="34"/>
      <c r="B386" s="51" t="s">
        <v>149</v>
      </c>
      <c r="C386" s="51"/>
      <c r="D386" s="162" t="s">
        <v>261</v>
      </c>
      <c r="E386" s="162"/>
      <c r="F386" s="162"/>
      <c r="G386" s="161"/>
      <c r="H386" s="159"/>
      <c r="I386" s="159"/>
      <c r="J386" s="51"/>
      <c r="K386" s="51"/>
      <c r="L386" s="51"/>
      <c r="M386" s="51"/>
      <c r="N386" s="51"/>
      <c r="O386" s="52"/>
      <c r="P386" s="42"/>
      <c r="Q386" s="75"/>
      <c r="R386" s="8"/>
      <c r="S386" s="77"/>
    </row>
    <row r="387" spans="1:19" ht="18.75">
      <c r="A387" s="51"/>
      <c r="B387" s="51"/>
      <c r="C387" s="54"/>
      <c r="D387" s="54"/>
      <c r="E387" s="54"/>
      <c r="F387" s="54"/>
      <c r="G387" s="51"/>
      <c r="H387" s="51"/>
      <c r="I387" s="51"/>
      <c r="J387" s="51"/>
      <c r="K387" s="51"/>
      <c r="L387" s="51"/>
      <c r="M387" s="51"/>
      <c r="N387" s="51"/>
      <c r="O387" s="52"/>
      <c r="P387" s="42"/>
      <c r="Q387" s="75"/>
      <c r="R387" s="8"/>
      <c r="S387" s="77"/>
    </row>
    <row r="388" spans="1:19" ht="18.75">
      <c r="A388" s="33"/>
      <c r="B388" s="123" t="s">
        <v>397</v>
      </c>
      <c r="C388" s="123"/>
      <c r="D388" s="123"/>
      <c r="E388" s="123"/>
      <c r="F388" s="123"/>
      <c r="G388" s="123"/>
      <c r="H388" s="123"/>
      <c r="I388" s="123"/>
      <c r="J388" s="123"/>
      <c r="K388" s="157"/>
      <c r="L388" s="157"/>
      <c r="M388" s="51"/>
      <c r="N388" s="51"/>
      <c r="O388" s="52"/>
      <c r="P388" s="42"/>
      <c r="Q388" s="75"/>
      <c r="R388" s="8"/>
      <c r="S388" s="77"/>
    </row>
    <row r="389" spans="1:19" ht="18.75">
      <c r="A389" s="33"/>
      <c r="B389" s="123"/>
      <c r="C389" s="123"/>
      <c r="D389" s="123"/>
      <c r="E389" s="123"/>
      <c r="F389" s="123"/>
      <c r="G389" s="123"/>
      <c r="H389" s="123"/>
      <c r="I389" s="123"/>
      <c r="J389" s="123"/>
      <c r="K389" s="157"/>
      <c r="L389" s="157"/>
      <c r="M389" s="51"/>
      <c r="N389" s="51"/>
      <c r="O389" s="52"/>
      <c r="P389" s="42"/>
      <c r="Q389" s="75"/>
      <c r="R389" s="8"/>
      <c r="S389" s="77"/>
    </row>
    <row r="390" spans="1:19" ht="75">
      <c r="A390" s="47" t="s">
        <v>151</v>
      </c>
      <c r="B390" s="208" t="s">
        <v>152</v>
      </c>
      <c r="C390" s="208"/>
      <c r="D390" s="59" t="s">
        <v>164</v>
      </c>
      <c r="E390" s="208" t="s">
        <v>193</v>
      </c>
      <c r="F390" s="208"/>
      <c r="G390" s="208" t="s">
        <v>194</v>
      </c>
      <c r="H390" s="208"/>
      <c r="I390" s="59" t="s">
        <v>195</v>
      </c>
      <c r="J390" s="59" t="s">
        <v>174</v>
      </c>
      <c r="K390" s="51"/>
      <c r="L390" s="51"/>
      <c r="M390" s="51"/>
      <c r="N390" s="51"/>
      <c r="O390" s="52"/>
      <c r="P390" s="42"/>
      <c r="Q390" s="75"/>
      <c r="R390" s="8"/>
      <c r="S390" s="8"/>
    </row>
    <row r="391" spans="1:17" ht="18.75">
      <c r="A391" s="148">
        <v>1</v>
      </c>
      <c r="B391" s="176">
        <v>2</v>
      </c>
      <c r="C391" s="176"/>
      <c r="D391" s="148">
        <v>3</v>
      </c>
      <c r="E391" s="176">
        <v>4</v>
      </c>
      <c r="F391" s="176"/>
      <c r="G391" s="176">
        <v>5</v>
      </c>
      <c r="H391" s="176"/>
      <c r="I391" s="148">
        <v>6</v>
      </c>
      <c r="J391" s="148">
        <v>7</v>
      </c>
      <c r="K391" s="51"/>
      <c r="L391" s="51"/>
      <c r="M391" s="51"/>
      <c r="N391" s="51"/>
      <c r="O391" s="52"/>
      <c r="P391" s="42"/>
      <c r="Q391" s="75"/>
    </row>
    <row r="392" spans="1:19" ht="18.75">
      <c r="A392" s="47">
        <v>1</v>
      </c>
      <c r="B392" s="215" t="s">
        <v>197</v>
      </c>
      <c r="C392" s="215"/>
      <c r="D392" s="148">
        <v>221</v>
      </c>
      <c r="E392" s="176">
        <v>1</v>
      </c>
      <c r="F392" s="176"/>
      <c r="G392" s="176">
        <v>12</v>
      </c>
      <c r="H392" s="176"/>
      <c r="I392" s="50">
        <f>ROUND(J392/G392,2)</f>
        <v>1600</v>
      </c>
      <c r="J392" s="50">
        <v>19200</v>
      </c>
      <c r="K392" s="51"/>
      <c r="L392" s="103"/>
      <c r="M392" s="51"/>
      <c r="N392" s="51"/>
      <c r="O392" s="52"/>
      <c r="P392" s="42"/>
      <c r="Q392" s="75"/>
      <c r="R392" s="77"/>
      <c r="S392" s="77"/>
    </row>
    <row r="393" spans="1:19" ht="18.75">
      <c r="A393" s="47"/>
      <c r="B393" s="176" t="s">
        <v>130</v>
      </c>
      <c r="C393" s="176"/>
      <c r="D393" s="148"/>
      <c r="E393" s="176" t="s">
        <v>168</v>
      </c>
      <c r="F393" s="176"/>
      <c r="G393" s="176" t="s">
        <v>168</v>
      </c>
      <c r="H393" s="176"/>
      <c r="I393" s="47" t="s">
        <v>168</v>
      </c>
      <c r="J393" s="50">
        <f>SUM(J392:J392)</f>
        <v>19200</v>
      </c>
      <c r="K393" s="51"/>
      <c r="L393" s="103"/>
      <c r="M393" s="51"/>
      <c r="N393" s="51"/>
      <c r="O393" s="52"/>
      <c r="P393" s="42"/>
      <c r="Q393" s="75"/>
      <c r="R393" s="77"/>
      <c r="S393" s="77"/>
    </row>
    <row r="394" spans="1:17" ht="18.75">
      <c r="A394" s="51"/>
      <c r="B394" s="51"/>
      <c r="C394" s="54"/>
      <c r="D394" s="54"/>
      <c r="E394" s="54"/>
      <c r="F394" s="54"/>
      <c r="G394" s="51"/>
      <c r="H394" s="51"/>
      <c r="I394" s="51"/>
      <c r="J394" s="51"/>
      <c r="K394" s="51"/>
      <c r="L394" s="103"/>
      <c r="M394" s="51"/>
      <c r="N394" s="51"/>
      <c r="O394" s="52"/>
      <c r="P394" s="42"/>
      <c r="Q394" s="75"/>
    </row>
    <row r="395" spans="1:17" ht="18.75">
      <c r="A395" s="51"/>
      <c r="B395" s="123" t="s">
        <v>398</v>
      </c>
      <c r="C395" s="123"/>
      <c r="D395" s="123"/>
      <c r="E395" s="123"/>
      <c r="F395" s="123"/>
      <c r="G395" s="123"/>
      <c r="H395" s="123"/>
      <c r="I395" s="123"/>
      <c r="J395" s="123"/>
      <c r="K395" s="157"/>
      <c r="L395" s="157"/>
      <c r="M395" s="51"/>
      <c r="N395" s="51"/>
      <c r="O395" s="52"/>
      <c r="P395" s="42"/>
      <c r="Q395" s="75"/>
    </row>
    <row r="396" spans="1:19" ht="18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2"/>
      <c r="P396" s="42"/>
      <c r="Q396" s="75"/>
      <c r="R396" s="16"/>
      <c r="S396" s="75"/>
    </row>
    <row r="397" spans="1:19" ht="37.5">
      <c r="A397" s="47" t="s">
        <v>151</v>
      </c>
      <c r="B397" s="208" t="s">
        <v>0</v>
      </c>
      <c r="C397" s="208"/>
      <c r="D397" s="208"/>
      <c r="E397" s="208" t="s">
        <v>164</v>
      </c>
      <c r="F397" s="208"/>
      <c r="G397" s="208" t="s">
        <v>182</v>
      </c>
      <c r="H397" s="208"/>
      <c r="I397" s="59" t="s">
        <v>183</v>
      </c>
      <c r="J397" s="59" t="s">
        <v>184</v>
      </c>
      <c r="K397" s="51"/>
      <c r="L397" s="51"/>
      <c r="M397" s="51"/>
      <c r="N397" s="51"/>
      <c r="O397" s="52"/>
      <c r="P397" s="42"/>
      <c r="Q397" s="75"/>
      <c r="R397" s="16"/>
      <c r="S397" s="75"/>
    </row>
    <row r="398" spans="1:19" ht="18.75">
      <c r="A398" s="148">
        <v>1</v>
      </c>
      <c r="B398" s="176">
        <v>2</v>
      </c>
      <c r="C398" s="176"/>
      <c r="D398" s="176"/>
      <c r="E398" s="176">
        <v>3</v>
      </c>
      <c r="F398" s="176"/>
      <c r="G398" s="176">
        <v>4</v>
      </c>
      <c r="H398" s="176"/>
      <c r="I398" s="148">
        <v>5</v>
      </c>
      <c r="J398" s="148">
        <v>6</v>
      </c>
      <c r="K398" s="51"/>
      <c r="L398" s="103"/>
      <c r="M398" s="51"/>
      <c r="N398" s="51"/>
      <c r="O398" s="52"/>
      <c r="P398" s="42"/>
      <c r="Q398" s="75"/>
      <c r="R398" s="16"/>
      <c r="S398" s="75"/>
    </row>
    <row r="399" spans="1:19" ht="57" customHeight="1">
      <c r="A399" s="47">
        <v>1</v>
      </c>
      <c r="B399" s="180" t="s">
        <v>276</v>
      </c>
      <c r="C399" s="180"/>
      <c r="D399" s="180"/>
      <c r="E399" s="176">
        <v>225</v>
      </c>
      <c r="F399" s="176"/>
      <c r="G399" s="176" t="s">
        <v>207</v>
      </c>
      <c r="H399" s="176"/>
      <c r="I399" s="47">
        <v>1</v>
      </c>
      <c r="J399" s="50">
        <v>5757.26</v>
      </c>
      <c r="K399" s="51"/>
      <c r="L399" s="103"/>
      <c r="M399" s="51"/>
      <c r="N399" s="51"/>
      <c r="O399" s="52"/>
      <c r="P399" s="42"/>
      <c r="Q399" s="75"/>
      <c r="R399" s="16"/>
      <c r="S399" s="75"/>
    </row>
    <row r="400" spans="1:18" ht="18.75">
      <c r="A400" s="47"/>
      <c r="B400" s="173" t="s">
        <v>130</v>
      </c>
      <c r="C400" s="174"/>
      <c r="D400" s="175"/>
      <c r="E400" s="173"/>
      <c r="F400" s="175"/>
      <c r="G400" s="176" t="s">
        <v>7</v>
      </c>
      <c r="H400" s="176"/>
      <c r="I400" s="47" t="s">
        <v>7</v>
      </c>
      <c r="J400" s="50">
        <f>SUM(J399:J399)</f>
        <v>5757.26</v>
      </c>
      <c r="K400" s="51"/>
      <c r="L400" s="103"/>
      <c r="M400" s="103"/>
      <c r="N400" s="51"/>
      <c r="O400" s="52"/>
      <c r="P400" s="42"/>
      <c r="Q400" s="75"/>
      <c r="R400" s="8"/>
    </row>
    <row r="401" spans="1:18" ht="18.75">
      <c r="A401" s="51"/>
      <c r="B401" s="51"/>
      <c r="C401" s="54"/>
      <c r="D401" s="54"/>
      <c r="E401" s="54"/>
      <c r="F401" s="54"/>
      <c r="G401" s="51"/>
      <c r="H401" s="51"/>
      <c r="I401" s="51"/>
      <c r="J401" s="51"/>
      <c r="K401" s="51"/>
      <c r="L401" s="51"/>
      <c r="M401" s="51"/>
      <c r="N401" s="51"/>
      <c r="O401" s="52"/>
      <c r="P401" s="42"/>
      <c r="Q401" s="75"/>
      <c r="R401" s="8"/>
    </row>
    <row r="402" spans="1:18" ht="18.75">
      <c r="A402" s="51"/>
      <c r="B402" s="51" t="s">
        <v>399</v>
      </c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2"/>
      <c r="P402" s="42"/>
      <c r="Q402" s="75"/>
      <c r="R402" s="8"/>
    </row>
    <row r="403" spans="1:18" ht="18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2"/>
      <c r="P403" s="42"/>
      <c r="Q403" s="75"/>
      <c r="R403" s="8"/>
    </row>
    <row r="404" spans="1:17" ht="68.25" customHeight="1">
      <c r="A404" s="47" t="s">
        <v>151</v>
      </c>
      <c r="B404" s="208" t="s">
        <v>0</v>
      </c>
      <c r="C404" s="208"/>
      <c r="D404" s="208"/>
      <c r="E404" s="208" t="s">
        <v>164</v>
      </c>
      <c r="F404" s="208"/>
      <c r="G404" s="208" t="s">
        <v>185</v>
      </c>
      <c r="H404" s="208"/>
      <c r="I404" s="59" t="s">
        <v>169</v>
      </c>
      <c r="J404" s="51"/>
      <c r="K404" s="51"/>
      <c r="L404" s="51"/>
      <c r="M404" s="51"/>
      <c r="N404" s="51"/>
      <c r="O404" s="52"/>
      <c r="P404" s="58"/>
      <c r="Q404" s="75"/>
    </row>
    <row r="405" spans="1:17" ht="18.75">
      <c r="A405" s="148">
        <v>1</v>
      </c>
      <c r="B405" s="176">
        <v>2</v>
      </c>
      <c r="C405" s="176"/>
      <c r="D405" s="176"/>
      <c r="E405" s="176">
        <v>3</v>
      </c>
      <c r="F405" s="176"/>
      <c r="G405" s="176">
        <v>4</v>
      </c>
      <c r="H405" s="176"/>
      <c r="I405" s="148">
        <v>5</v>
      </c>
      <c r="J405" s="157"/>
      <c r="K405" s="157"/>
      <c r="L405" s="157"/>
      <c r="M405" s="157"/>
      <c r="N405" s="157"/>
      <c r="O405" s="60"/>
      <c r="P405" s="43"/>
      <c r="Q405" s="75"/>
    </row>
    <row r="406" spans="1:17" ht="54" customHeight="1">
      <c r="A406" s="47">
        <v>1</v>
      </c>
      <c r="B406" s="212" t="s">
        <v>440</v>
      </c>
      <c r="C406" s="213"/>
      <c r="D406" s="214"/>
      <c r="E406" s="176">
        <v>226</v>
      </c>
      <c r="F406" s="176"/>
      <c r="G406" s="176">
        <v>0</v>
      </c>
      <c r="H406" s="176"/>
      <c r="I406" s="50">
        <f>5867.06-5867.06</f>
        <v>0</v>
      </c>
      <c r="J406" s="51"/>
      <c r="K406" s="51"/>
      <c r="L406" s="51"/>
      <c r="M406" s="51"/>
      <c r="N406" s="51"/>
      <c r="O406" s="52"/>
      <c r="P406" s="42"/>
      <c r="Q406" s="75"/>
    </row>
    <row r="407" spans="1:17" ht="39" customHeight="1">
      <c r="A407" s="47">
        <v>2</v>
      </c>
      <c r="B407" s="212" t="s">
        <v>337</v>
      </c>
      <c r="C407" s="213"/>
      <c r="D407" s="214"/>
      <c r="E407" s="176">
        <v>226</v>
      </c>
      <c r="F407" s="176"/>
      <c r="G407" s="176">
        <v>1</v>
      </c>
      <c r="H407" s="176"/>
      <c r="I407" s="50">
        <f>8000+7000-563.5-7600+5867.06</f>
        <v>12703.560000000001</v>
      </c>
      <c r="J407" s="51"/>
      <c r="K407" s="51"/>
      <c r="L407" s="51"/>
      <c r="M407" s="51"/>
      <c r="N407" s="51"/>
      <c r="O407" s="52"/>
      <c r="P407" s="42"/>
      <c r="Q407" s="75"/>
    </row>
    <row r="408" spans="1:17" ht="39" customHeight="1">
      <c r="A408" s="47">
        <v>3</v>
      </c>
      <c r="B408" s="212" t="s">
        <v>356</v>
      </c>
      <c r="C408" s="213"/>
      <c r="D408" s="214"/>
      <c r="E408" s="176">
        <v>226</v>
      </c>
      <c r="F408" s="176"/>
      <c r="G408" s="176">
        <v>1</v>
      </c>
      <c r="H408" s="176"/>
      <c r="I408" s="50">
        <v>6000</v>
      </c>
      <c r="J408" s="51"/>
      <c r="K408" s="51"/>
      <c r="L408" s="51"/>
      <c r="M408" s="51"/>
      <c r="N408" s="51"/>
      <c r="O408" s="52"/>
      <c r="P408" s="42"/>
      <c r="Q408" s="75"/>
    </row>
    <row r="409" spans="1:17" ht="39" customHeight="1">
      <c r="A409" s="47">
        <v>4</v>
      </c>
      <c r="B409" s="212" t="s">
        <v>357</v>
      </c>
      <c r="C409" s="213"/>
      <c r="D409" s="214"/>
      <c r="E409" s="176">
        <v>226</v>
      </c>
      <c r="F409" s="176"/>
      <c r="G409" s="176">
        <v>1</v>
      </c>
      <c r="H409" s="176"/>
      <c r="I409" s="50">
        <v>11760</v>
      </c>
      <c r="J409" s="51"/>
      <c r="K409" s="51"/>
      <c r="L409" s="51"/>
      <c r="M409" s="51"/>
      <c r="N409" s="51"/>
      <c r="O409" s="52"/>
      <c r="P409" s="42"/>
      <c r="Q409" s="75"/>
    </row>
    <row r="410" spans="1:17" ht="39" customHeight="1">
      <c r="A410" s="47">
        <v>5</v>
      </c>
      <c r="B410" s="212" t="s">
        <v>358</v>
      </c>
      <c r="C410" s="213"/>
      <c r="D410" s="214"/>
      <c r="E410" s="176">
        <v>226</v>
      </c>
      <c r="F410" s="176"/>
      <c r="G410" s="176">
        <v>1</v>
      </c>
      <c r="H410" s="176"/>
      <c r="I410" s="50">
        <v>7000</v>
      </c>
      <c r="J410" s="51"/>
      <c r="K410" s="51"/>
      <c r="L410" s="51"/>
      <c r="M410" s="51"/>
      <c r="N410" s="51"/>
      <c r="O410" s="52"/>
      <c r="P410" s="42"/>
      <c r="Q410" s="75"/>
    </row>
    <row r="411" spans="1:17" ht="39" customHeight="1">
      <c r="A411" s="47">
        <v>6</v>
      </c>
      <c r="B411" s="212" t="s">
        <v>486</v>
      </c>
      <c r="C411" s="213"/>
      <c r="D411" s="214"/>
      <c r="E411" s="176">
        <v>226</v>
      </c>
      <c r="F411" s="176"/>
      <c r="G411" s="176">
        <v>1</v>
      </c>
      <c r="H411" s="176"/>
      <c r="I411" s="50">
        <v>18000</v>
      </c>
      <c r="J411" s="51"/>
      <c r="K411" s="51"/>
      <c r="L411" s="51"/>
      <c r="M411" s="51"/>
      <c r="N411" s="51"/>
      <c r="O411" s="52"/>
      <c r="P411" s="42"/>
      <c r="Q411" s="75"/>
    </row>
    <row r="412" spans="1:17" ht="39" customHeight="1">
      <c r="A412" s="47">
        <v>7</v>
      </c>
      <c r="B412" s="212" t="s">
        <v>477</v>
      </c>
      <c r="C412" s="213"/>
      <c r="D412" s="214"/>
      <c r="E412" s="176">
        <v>226</v>
      </c>
      <c r="F412" s="176"/>
      <c r="G412" s="176">
        <v>1</v>
      </c>
      <c r="H412" s="176"/>
      <c r="I412" s="50">
        <v>5200</v>
      </c>
      <c r="J412" s="51"/>
      <c r="K412" s="51"/>
      <c r="L412" s="51"/>
      <c r="M412" s="51"/>
      <c r="N412" s="51"/>
      <c r="O412" s="52"/>
      <c r="P412" s="42"/>
      <c r="Q412" s="75"/>
    </row>
    <row r="413" spans="1:17" ht="39" customHeight="1">
      <c r="A413" s="47">
        <v>8</v>
      </c>
      <c r="B413" s="212" t="s">
        <v>460</v>
      </c>
      <c r="C413" s="213"/>
      <c r="D413" s="214"/>
      <c r="E413" s="176">
        <v>226</v>
      </c>
      <c r="F413" s="176"/>
      <c r="G413" s="176">
        <v>1</v>
      </c>
      <c r="H413" s="176"/>
      <c r="I413" s="50">
        <f>7600</f>
        <v>7600</v>
      </c>
      <c r="J413" s="51"/>
      <c r="K413" s="51"/>
      <c r="L413" s="51"/>
      <c r="M413" s="51"/>
      <c r="N413" s="51"/>
      <c r="O413" s="52"/>
      <c r="P413" s="42"/>
      <c r="Q413" s="75"/>
    </row>
    <row r="414" spans="1:17" ht="18.75">
      <c r="A414" s="47"/>
      <c r="B414" s="173" t="s">
        <v>130</v>
      </c>
      <c r="C414" s="174"/>
      <c r="D414" s="175"/>
      <c r="E414" s="176"/>
      <c r="F414" s="176"/>
      <c r="G414" s="176" t="s">
        <v>7</v>
      </c>
      <c r="H414" s="176"/>
      <c r="I414" s="50">
        <f>SUM(I406:I413)</f>
        <v>68263.56</v>
      </c>
      <c r="J414" s="51"/>
      <c r="K414" s="51"/>
      <c r="L414" s="51"/>
      <c r="M414" s="51"/>
      <c r="N414" s="51"/>
      <c r="O414" s="52"/>
      <c r="P414" s="44"/>
      <c r="Q414" s="75"/>
    </row>
    <row r="415" spans="1:17" ht="18.75">
      <c r="A415" s="54"/>
      <c r="B415" s="54"/>
      <c r="C415" s="54"/>
      <c r="D415" s="54"/>
      <c r="E415" s="61"/>
      <c r="F415" s="54"/>
      <c r="G415" s="51"/>
      <c r="H415" s="51"/>
      <c r="I415" s="51"/>
      <c r="J415" s="51"/>
      <c r="K415" s="51"/>
      <c r="L415" s="103"/>
      <c r="M415" s="51"/>
      <c r="N415" s="51"/>
      <c r="O415" s="52"/>
      <c r="P415" s="42"/>
      <c r="Q415" s="75"/>
    </row>
    <row r="416" spans="1:17" ht="18.75">
      <c r="A416" s="51"/>
      <c r="B416" s="123" t="s">
        <v>400</v>
      </c>
      <c r="C416" s="123"/>
      <c r="D416" s="123"/>
      <c r="E416" s="123"/>
      <c r="F416" s="123"/>
      <c r="G416" s="123"/>
      <c r="H416" s="123"/>
      <c r="I416" s="123"/>
      <c r="J416" s="123"/>
      <c r="K416" s="157"/>
      <c r="L416" s="157"/>
      <c r="M416" s="51"/>
      <c r="N416" s="51"/>
      <c r="O416" s="52"/>
      <c r="P416" s="42"/>
      <c r="Q416" s="75"/>
    </row>
    <row r="417" spans="1:17" ht="18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2"/>
      <c r="P417" s="42"/>
      <c r="Q417" s="75"/>
    </row>
    <row r="418" spans="1:17" ht="37.5" customHeight="1">
      <c r="A418" s="47" t="s">
        <v>151</v>
      </c>
      <c r="B418" s="208" t="s">
        <v>0</v>
      </c>
      <c r="C418" s="208"/>
      <c r="D418" s="208"/>
      <c r="E418" s="208" t="s">
        <v>164</v>
      </c>
      <c r="F418" s="208"/>
      <c r="G418" s="208" t="s">
        <v>182</v>
      </c>
      <c r="H418" s="208"/>
      <c r="I418" s="59" t="s">
        <v>183</v>
      </c>
      <c r="J418" s="59" t="s">
        <v>184</v>
      </c>
      <c r="K418" s="51"/>
      <c r="L418" s="51"/>
      <c r="M418" s="51"/>
      <c r="N418" s="51"/>
      <c r="O418" s="52"/>
      <c r="P418" s="42"/>
      <c r="Q418" s="75"/>
    </row>
    <row r="419" spans="1:17" ht="18.75">
      <c r="A419" s="148">
        <v>1</v>
      </c>
      <c r="B419" s="176">
        <v>2</v>
      </c>
      <c r="C419" s="176"/>
      <c r="D419" s="176"/>
      <c r="E419" s="176">
        <v>3</v>
      </c>
      <c r="F419" s="176"/>
      <c r="G419" s="176">
        <v>4</v>
      </c>
      <c r="H419" s="176"/>
      <c r="I419" s="148">
        <v>5</v>
      </c>
      <c r="J419" s="148">
        <v>6</v>
      </c>
      <c r="K419" s="51"/>
      <c r="L419" s="103"/>
      <c r="M419" s="51"/>
      <c r="N419" s="51"/>
      <c r="O419" s="52"/>
      <c r="P419" s="42"/>
      <c r="Q419" s="75"/>
    </row>
    <row r="420" spans="1:17" ht="18.75" customHeight="1">
      <c r="A420" s="47">
        <v>1</v>
      </c>
      <c r="B420" s="212" t="s">
        <v>374</v>
      </c>
      <c r="C420" s="213"/>
      <c r="D420" s="214"/>
      <c r="E420" s="176">
        <v>226</v>
      </c>
      <c r="F420" s="176"/>
      <c r="G420" s="176" t="s">
        <v>300</v>
      </c>
      <c r="H420" s="176"/>
      <c r="I420" s="47">
        <v>1</v>
      </c>
      <c r="J420" s="50">
        <v>0</v>
      </c>
      <c r="K420" s="51"/>
      <c r="L420" s="51"/>
      <c r="M420" s="51"/>
      <c r="N420" s="51"/>
      <c r="O420" s="52"/>
      <c r="P420" s="42"/>
      <c r="Q420" s="75"/>
    </row>
    <row r="421" spans="1:17" ht="18.75">
      <c r="A421" s="47"/>
      <c r="B421" s="173" t="s">
        <v>130</v>
      </c>
      <c r="C421" s="174"/>
      <c r="D421" s="175"/>
      <c r="E421" s="173"/>
      <c r="F421" s="175"/>
      <c r="G421" s="176" t="s">
        <v>7</v>
      </c>
      <c r="H421" s="176"/>
      <c r="I421" s="47" t="s">
        <v>7</v>
      </c>
      <c r="J421" s="50">
        <f>SUM(J420:J420)</f>
        <v>0</v>
      </c>
      <c r="K421" s="51"/>
      <c r="L421" s="103"/>
      <c r="M421" s="51"/>
      <c r="N421" s="51"/>
      <c r="O421" s="52"/>
      <c r="P421" s="42"/>
      <c r="Q421" s="75"/>
    </row>
    <row r="422" spans="1:17" ht="18.75">
      <c r="A422" s="54"/>
      <c r="B422" s="54"/>
      <c r="C422" s="54"/>
      <c r="D422" s="54"/>
      <c r="E422" s="61"/>
      <c r="F422" s="54"/>
      <c r="G422" s="51"/>
      <c r="H422" s="51"/>
      <c r="I422" s="51"/>
      <c r="J422" s="51"/>
      <c r="K422" s="51"/>
      <c r="L422" s="103"/>
      <c r="M422" s="51"/>
      <c r="N422" s="51"/>
      <c r="O422" s="52"/>
      <c r="P422" s="42"/>
      <c r="Q422" s="75"/>
    </row>
    <row r="423" spans="1:17" ht="18.75">
      <c r="A423" s="51"/>
      <c r="B423" s="123" t="s">
        <v>375</v>
      </c>
      <c r="C423" s="123"/>
      <c r="D423" s="123"/>
      <c r="E423" s="123"/>
      <c r="F423" s="123"/>
      <c r="G423" s="123"/>
      <c r="H423" s="123"/>
      <c r="I423" s="123"/>
      <c r="J423" s="123"/>
      <c r="K423" s="157"/>
      <c r="L423" s="157"/>
      <c r="M423" s="51"/>
      <c r="N423" s="51"/>
      <c r="O423" s="52"/>
      <c r="P423" s="42"/>
      <c r="Q423" s="75"/>
    </row>
    <row r="424" spans="1:17" ht="18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2"/>
      <c r="P424" s="42"/>
      <c r="Q424" s="75"/>
    </row>
    <row r="425" spans="1:17" ht="37.5" customHeight="1">
      <c r="A425" s="47" t="s">
        <v>151</v>
      </c>
      <c r="B425" s="208" t="s">
        <v>0</v>
      </c>
      <c r="C425" s="208"/>
      <c r="D425" s="208"/>
      <c r="E425" s="208" t="s">
        <v>164</v>
      </c>
      <c r="F425" s="208"/>
      <c r="G425" s="208" t="s">
        <v>182</v>
      </c>
      <c r="H425" s="208"/>
      <c r="I425" s="59" t="s">
        <v>183</v>
      </c>
      <c r="J425" s="59" t="s">
        <v>184</v>
      </c>
      <c r="K425" s="51"/>
      <c r="L425" s="51"/>
      <c r="M425" s="51"/>
      <c r="N425" s="51"/>
      <c r="O425" s="52"/>
      <c r="P425" s="42"/>
      <c r="Q425" s="75"/>
    </row>
    <row r="426" spans="1:17" ht="18.75">
      <c r="A426" s="148">
        <v>1</v>
      </c>
      <c r="B426" s="176">
        <v>2</v>
      </c>
      <c r="C426" s="176"/>
      <c r="D426" s="176"/>
      <c r="E426" s="176">
        <v>3</v>
      </c>
      <c r="F426" s="176"/>
      <c r="G426" s="176">
        <v>4</v>
      </c>
      <c r="H426" s="176"/>
      <c r="I426" s="148">
        <v>5</v>
      </c>
      <c r="J426" s="148">
        <v>6</v>
      </c>
      <c r="K426" s="51"/>
      <c r="L426" s="103"/>
      <c r="M426" s="51"/>
      <c r="N426" s="51"/>
      <c r="O426" s="52"/>
      <c r="P426" s="42"/>
      <c r="Q426" s="75"/>
    </row>
    <row r="427" spans="1:17" ht="18.75">
      <c r="A427" s="47">
        <v>1</v>
      </c>
      <c r="B427" s="212" t="s">
        <v>374</v>
      </c>
      <c r="C427" s="213"/>
      <c r="D427" s="214"/>
      <c r="E427" s="176">
        <v>226</v>
      </c>
      <c r="F427" s="176"/>
      <c r="G427" s="176" t="s">
        <v>300</v>
      </c>
      <c r="H427" s="176"/>
      <c r="I427" s="47">
        <v>1</v>
      </c>
      <c r="J427" s="50">
        <f>7500</f>
        <v>7500</v>
      </c>
      <c r="K427" s="51"/>
      <c r="L427" s="51"/>
      <c r="M427" s="51"/>
      <c r="N427" s="51"/>
      <c r="O427" s="52"/>
      <c r="P427" s="42"/>
      <c r="Q427" s="75"/>
    </row>
    <row r="428" spans="1:17" ht="18.75">
      <c r="A428" s="47"/>
      <c r="B428" s="173" t="s">
        <v>130</v>
      </c>
      <c r="C428" s="174"/>
      <c r="D428" s="175"/>
      <c r="E428" s="173"/>
      <c r="F428" s="175"/>
      <c r="G428" s="176" t="s">
        <v>7</v>
      </c>
      <c r="H428" s="176"/>
      <c r="I428" s="47" t="s">
        <v>7</v>
      </c>
      <c r="J428" s="50">
        <f>SUM(J427:J427)</f>
        <v>7500</v>
      </c>
      <c r="K428" s="51"/>
      <c r="L428" s="103"/>
      <c r="M428" s="51"/>
      <c r="N428" s="51"/>
      <c r="O428" s="52"/>
      <c r="P428" s="42"/>
      <c r="Q428" s="75"/>
    </row>
    <row r="429" spans="1:17" ht="18.75">
      <c r="A429" s="54"/>
      <c r="B429" s="54"/>
      <c r="C429" s="54"/>
      <c r="D429" s="54"/>
      <c r="E429" s="61"/>
      <c r="F429" s="54"/>
      <c r="G429" s="51"/>
      <c r="H429" s="51"/>
      <c r="I429" s="51"/>
      <c r="J429" s="51"/>
      <c r="K429" s="51"/>
      <c r="L429" s="103"/>
      <c r="M429" s="51"/>
      <c r="N429" s="51"/>
      <c r="O429" s="52"/>
      <c r="P429" s="42"/>
      <c r="Q429" s="75"/>
    </row>
    <row r="430" spans="1:17" ht="18.75">
      <c r="A430" s="51"/>
      <c r="B430" s="51" t="s">
        <v>401</v>
      </c>
      <c r="C430" s="51"/>
      <c r="D430" s="51"/>
      <c r="E430" s="51"/>
      <c r="F430" s="51"/>
      <c r="G430" s="51"/>
      <c r="H430" s="51"/>
      <c r="I430" s="51"/>
      <c r="J430" s="51"/>
      <c r="K430" s="51"/>
      <c r="L430" s="103"/>
      <c r="M430" s="51"/>
      <c r="N430" s="51"/>
      <c r="O430" s="52"/>
      <c r="P430" s="42"/>
      <c r="Q430" s="75"/>
    </row>
    <row r="431" spans="1:17" ht="18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2"/>
      <c r="P431" s="42"/>
      <c r="Q431" s="75"/>
    </row>
    <row r="432" spans="1:17" ht="56.25" customHeight="1">
      <c r="A432" s="47" t="s">
        <v>151</v>
      </c>
      <c r="B432" s="208" t="s">
        <v>0</v>
      </c>
      <c r="C432" s="208"/>
      <c r="D432" s="208"/>
      <c r="E432" s="208" t="s">
        <v>164</v>
      </c>
      <c r="F432" s="208"/>
      <c r="G432" s="208" t="s">
        <v>186</v>
      </c>
      <c r="H432" s="208"/>
      <c r="I432" s="59" t="s">
        <v>187</v>
      </c>
      <c r="J432" s="59" t="s">
        <v>188</v>
      </c>
      <c r="K432" s="51"/>
      <c r="L432" s="51"/>
      <c r="M432" s="51"/>
      <c r="N432" s="51"/>
      <c r="O432" s="52"/>
      <c r="P432" s="58"/>
      <c r="Q432" s="75"/>
    </row>
    <row r="433" spans="1:17" ht="18.75" customHeight="1">
      <c r="A433" s="148">
        <v>1</v>
      </c>
      <c r="B433" s="173">
        <v>2</v>
      </c>
      <c r="C433" s="174"/>
      <c r="D433" s="175"/>
      <c r="E433" s="173">
        <v>3</v>
      </c>
      <c r="F433" s="175"/>
      <c r="G433" s="173">
        <v>4</v>
      </c>
      <c r="H433" s="175"/>
      <c r="I433" s="148">
        <v>5</v>
      </c>
      <c r="J433" s="148">
        <v>6</v>
      </c>
      <c r="K433" s="157"/>
      <c r="L433" s="157"/>
      <c r="M433" s="157"/>
      <c r="N433" s="157"/>
      <c r="O433" s="60"/>
      <c r="P433" s="43"/>
      <c r="Q433" s="75"/>
    </row>
    <row r="434" spans="1:17" ht="18.75" customHeight="1">
      <c r="A434" s="47">
        <v>1</v>
      </c>
      <c r="B434" s="182" t="s">
        <v>487</v>
      </c>
      <c r="C434" s="183"/>
      <c r="D434" s="184"/>
      <c r="E434" s="176">
        <v>310</v>
      </c>
      <c r="F434" s="176"/>
      <c r="G434" s="181">
        <v>1</v>
      </c>
      <c r="H434" s="181"/>
      <c r="I434" s="50">
        <f aca="true" t="shared" si="3" ref="I434:I439">J434/G434</f>
        <v>41000</v>
      </c>
      <c r="J434" s="50">
        <f>150000-12900-22160-16809+5250-22300+9918-27799-2700-11250-13000+4750</f>
        <v>41000</v>
      </c>
      <c r="K434" s="51"/>
      <c r="L434" s="51"/>
      <c r="M434" s="51"/>
      <c r="N434" s="51"/>
      <c r="O434" s="52"/>
      <c r="P434" s="42"/>
      <c r="Q434" s="75"/>
    </row>
    <row r="435" spans="1:17" ht="18.75" customHeight="1">
      <c r="A435" s="47">
        <v>2</v>
      </c>
      <c r="B435" s="182" t="s">
        <v>366</v>
      </c>
      <c r="C435" s="183"/>
      <c r="D435" s="184"/>
      <c r="E435" s="176">
        <v>310</v>
      </c>
      <c r="F435" s="176"/>
      <c r="G435" s="181">
        <v>1</v>
      </c>
      <c r="H435" s="181"/>
      <c r="I435" s="50">
        <f t="shared" si="3"/>
        <v>8150</v>
      </c>
      <c r="J435" s="50">
        <f>12900-4750</f>
        <v>8150</v>
      </c>
      <c r="K435" s="51"/>
      <c r="L435" s="51"/>
      <c r="M435" s="51"/>
      <c r="N435" s="51"/>
      <c r="O435" s="52"/>
      <c r="P435" s="42"/>
      <c r="Q435" s="75"/>
    </row>
    <row r="436" spans="1:17" ht="18.75" customHeight="1">
      <c r="A436" s="47">
        <v>3</v>
      </c>
      <c r="B436" s="182" t="s">
        <v>378</v>
      </c>
      <c r="C436" s="183"/>
      <c r="D436" s="184"/>
      <c r="E436" s="176">
        <v>310</v>
      </c>
      <c r="F436" s="176"/>
      <c r="G436" s="181">
        <v>1</v>
      </c>
      <c r="H436" s="181"/>
      <c r="I436" s="50">
        <f t="shared" si="3"/>
        <v>22300</v>
      </c>
      <c r="J436" s="50">
        <v>22300</v>
      </c>
      <c r="K436" s="51"/>
      <c r="L436" s="51"/>
      <c r="M436" s="51"/>
      <c r="N436" s="51"/>
      <c r="O436" s="52"/>
      <c r="P436" s="42"/>
      <c r="Q436" s="75"/>
    </row>
    <row r="437" spans="1:17" ht="18.75" customHeight="1">
      <c r="A437" s="47">
        <v>4</v>
      </c>
      <c r="B437" s="182" t="s">
        <v>463</v>
      </c>
      <c r="C437" s="183"/>
      <c r="D437" s="184"/>
      <c r="E437" s="176">
        <v>310</v>
      </c>
      <c r="F437" s="176"/>
      <c r="G437" s="181">
        <v>2</v>
      </c>
      <c r="H437" s="181"/>
      <c r="I437" s="50">
        <f t="shared" si="3"/>
        <v>1350</v>
      </c>
      <c r="J437" s="50">
        <f>2700</f>
        <v>2700</v>
      </c>
      <c r="K437" s="51"/>
      <c r="L437" s="51"/>
      <c r="M437" s="51"/>
      <c r="N437" s="51"/>
      <c r="O437" s="52"/>
      <c r="P437" s="42"/>
      <c r="Q437" s="75"/>
    </row>
    <row r="438" spans="1:17" ht="60" customHeight="1">
      <c r="A438" s="47">
        <v>5</v>
      </c>
      <c r="B438" s="182" t="s">
        <v>474</v>
      </c>
      <c r="C438" s="183"/>
      <c r="D438" s="184"/>
      <c r="E438" s="176">
        <v>310</v>
      </c>
      <c r="F438" s="176"/>
      <c r="G438" s="181">
        <v>3</v>
      </c>
      <c r="H438" s="181"/>
      <c r="I438" s="50">
        <f t="shared" si="3"/>
        <v>3750</v>
      </c>
      <c r="J438" s="50">
        <f>11250</f>
        <v>11250</v>
      </c>
      <c r="K438" s="51"/>
      <c r="L438" s="51"/>
      <c r="M438" s="51"/>
      <c r="N438" s="51"/>
      <c r="O438" s="52"/>
      <c r="P438" s="42"/>
      <c r="Q438" s="75"/>
    </row>
    <row r="439" spans="1:17" ht="60" customHeight="1">
      <c r="A439" s="47">
        <v>6</v>
      </c>
      <c r="B439" s="182" t="s">
        <v>472</v>
      </c>
      <c r="C439" s="183"/>
      <c r="D439" s="184"/>
      <c r="E439" s="176">
        <v>310</v>
      </c>
      <c r="F439" s="176"/>
      <c r="G439" s="181">
        <v>10</v>
      </c>
      <c r="H439" s="181"/>
      <c r="I439" s="50">
        <f t="shared" si="3"/>
        <v>1300</v>
      </c>
      <c r="J439" s="50">
        <f>13000</f>
        <v>13000</v>
      </c>
      <c r="K439" s="51"/>
      <c r="L439" s="51"/>
      <c r="M439" s="51"/>
      <c r="N439" s="51"/>
      <c r="O439" s="52"/>
      <c r="P439" s="42"/>
      <c r="Q439" s="75"/>
    </row>
    <row r="440" spans="1:17" ht="18.75">
      <c r="A440" s="47"/>
      <c r="B440" s="176" t="s">
        <v>130</v>
      </c>
      <c r="C440" s="176"/>
      <c r="D440" s="176"/>
      <c r="E440" s="176"/>
      <c r="F440" s="176"/>
      <c r="G440" s="176"/>
      <c r="H440" s="176"/>
      <c r="I440" s="47" t="s">
        <v>7</v>
      </c>
      <c r="J440" s="149">
        <f>SUM(J434:J439)</f>
        <v>98400</v>
      </c>
      <c r="K440" s="51"/>
      <c r="L440" s="51"/>
      <c r="M440" s="51"/>
      <c r="N440" s="51"/>
      <c r="O440" s="52"/>
      <c r="P440" s="44"/>
      <c r="Q440" s="75"/>
    </row>
    <row r="441" spans="1:17" ht="18.75">
      <c r="A441" s="54"/>
      <c r="B441" s="54"/>
      <c r="C441" s="53"/>
      <c r="D441" s="54"/>
      <c r="E441" s="54"/>
      <c r="F441" s="61"/>
      <c r="G441" s="51"/>
      <c r="H441" s="51"/>
      <c r="I441" s="51"/>
      <c r="J441" s="51"/>
      <c r="K441" s="51"/>
      <c r="L441" s="51"/>
      <c r="M441" s="51"/>
      <c r="N441" s="51"/>
      <c r="O441" s="52"/>
      <c r="P441" s="42"/>
      <c r="Q441" s="75"/>
    </row>
    <row r="442" spans="1:17" ht="18.75">
      <c r="A442" s="51"/>
      <c r="B442" s="51" t="s">
        <v>402</v>
      </c>
      <c r="C442" s="51"/>
      <c r="D442" s="51"/>
      <c r="E442" s="51"/>
      <c r="F442" s="51"/>
      <c r="G442" s="51"/>
      <c r="H442" s="51"/>
      <c r="I442" s="51"/>
      <c r="J442" s="51"/>
      <c r="K442" s="51"/>
      <c r="L442" s="103"/>
      <c r="M442" s="51"/>
      <c r="N442" s="51"/>
      <c r="O442" s="52"/>
      <c r="P442" s="42"/>
      <c r="Q442" s="75"/>
    </row>
    <row r="443" spans="1:17" ht="18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2"/>
      <c r="P443" s="42"/>
      <c r="Q443" s="75"/>
    </row>
    <row r="444" spans="1:17" ht="56.25">
      <c r="A444" s="47" t="s">
        <v>151</v>
      </c>
      <c r="B444" s="208" t="s">
        <v>0</v>
      </c>
      <c r="C444" s="208"/>
      <c r="D444" s="208"/>
      <c r="E444" s="208" t="s">
        <v>164</v>
      </c>
      <c r="F444" s="208"/>
      <c r="G444" s="208" t="s">
        <v>186</v>
      </c>
      <c r="H444" s="208"/>
      <c r="I444" s="59" t="s">
        <v>187</v>
      </c>
      <c r="J444" s="59" t="s">
        <v>188</v>
      </c>
      <c r="K444" s="51"/>
      <c r="L444" s="51"/>
      <c r="M444" s="51"/>
      <c r="N444" s="51"/>
      <c r="O444" s="52"/>
      <c r="P444" s="58"/>
      <c r="Q444" s="75"/>
    </row>
    <row r="445" spans="1:17" ht="18.75">
      <c r="A445" s="148">
        <v>1</v>
      </c>
      <c r="B445" s="173">
        <v>2</v>
      </c>
      <c r="C445" s="174"/>
      <c r="D445" s="175"/>
      <c r="E445" s="173">
        <v>3</v>
      </c>
      <c r="F445" s="175"/>
      <c r="G445" s="173">
        <v>4</v>
      </c>
      <c r="H445" s="175"/>
      <c r="I445" s="148">
        <v>5</v>
      </c>
      <c r="J445" s="148">
        <v>6</v>
      </c>
      <c r="K445" s="157"/>
      <c r="L445" s="157"/>
      <c r="M445" s="157"/>
      <c r="N445" s="157"/>
      <c r="O445" s="60"/>
      <c r="P445" s="43"/>
      <c r="Q445" s="75"/>
    </row>
    <row r="446" spans="1:17" ht="18.75">
      <c r="A446" s="47">
        <v>1</v>
      </c>
      <c r="B446" s="182" t="s">
        <v>368</v>
      </c>
      <c r="C446" s="183"/>
      <c r="D446" s="184"/>
      <c r="E446" s="176">
        <v>310</v>
      </c>
      <c r="F446" s="176"/>
      <c r="G446" s="181">
        <v>0</v>
      </c>
      <c r="H446" s="181"/>
      <c r="I446" s="50" t="e">
        <f>J446/G446</f>
        <v>#DIV/0!</v>
      </c>
      <c r="J446" s="50">
        <v>0</v>
      </c>
      <c r="K446" s="51"/>
      <c r="L446" s="51"/>
      <c r="M446" s="51"/>
      <c r="N446" s="51"/>
      <c r="O446" s="52"/>
      <c r="P446" s="42"/>
      <c r="Q446" s="75"/>
    </row>
    <row r="447" spans="1:17" ht="18.75">
      <c r="A447" s="47"/>
      <c r="B447" s="176" t="s">
        <v>130</v>
      </c>
      <c r="C447" s="176"/>
      <c r="D447" s="176"/>
      <c r="E447" s="176"/>
      <c r="F447" s="176"/>
      <c r="G447" s="176"/>
      <c r="H447" s="176"/>
      <c r="I447" s="47" t="s">
        <v>7</v>
      </c>
      <c r="J447" s="149">
        <f>SUM(J446:J446)</f>
        <v>0</v>
      </c>
      <c r="K447" s="51"/>
      <c r="L447" s="51"/>
      <c r="M447" s="51"/>
      <c r="N447" s="51"/>
      <c r="O447" s="52"/>
      <c r="P447" s="44"/>
      <c r="Q447" s="75"/>
    </row>
    <row r="448" spans="1:17" ht="18.75">
      <c r="A448" s="54"/>
      <c r="B448" s="54"/>
      <c r="C448" s="53"/>
      <c r="D448" s="54"/>
      <c r="E448" s="54"/>
      <c r="F448" s="61"/>
      <c r="G448" s="51"/>
      <c r="H448" s="51"/>
      <c r="I448" s="51"/>
      <c r="J448" s="51"/>
      <c r="K448" s="51"/>
      <c r="L448" s="51"/>
      <c r="M448" s="51"/>
      <c r="N448" s="51"/>
      <c r="O448" s="52"/>
      <c r="P448" s="42"/>
      <c r="Q448" s="75"/>
    </row>
    <row r="449" spans="1:17" ht="18.75">
      <c r="A449" s="51"/>
      <c r="B449" s="51" t="s">
        <v>403</v>
      </c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2"/>
      <c r="P449" s="44"/>
      <c r="Q449" s="75"/>
    </row>
    <row r="450" spans="1:17" ht="18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2"/>
      <c r="P450" s="44"/>
      <c r="Q450" s="75"/>
    </row>
    <row r="451" spans="1:17" ht="56.25">
      <c r="A451" s="47" t="s">
        <v>151</v>
      </c>
      <c r="B451" s="208" t="s">
        <v>0</v>
      </c>
      <c r="C451" s="208"/>
      <c r="D451" s="208"/>
      <c r="E451" s="208" t="s">
        <v>164</v>
      </c>
      <c r="F451" s="208"/>
      <c r="G451" s="208" t="s">
        <v>308</v>
      </c>
      <c r="H451" s="208"/>
      <c r="I451" s="59" t="s">
        <v>187</v>
      </c>
      <c r="J451" s="59" t="s">
        <v>216</v>
      </c>
      <c r="K451" s="51"/>
      <c r="L451" s="51"/>
      <c r="M451" s="51"/>
      <c r="N451" s="51"/>
      <c r="O451" s="52"/>
      <c r="P451" s="44"/>
      <c r="Q451" s="75"/>
    </row>
    <row r="452" spans="1:17" ht="18.75">
      <c r="A452" s="148">
        <v>1</v>
      </c>
      <c r="B452" s="176">
        <v>2</v>
      </c>
      <c r="C452" s="176"/>
      <c r="D452" s="176"/>
      <c r="E452" s="176">
        <v>3</v>
      </c>
      <c r="F452" s="176"/>
      <c r="G452" s="176">
        <v>4</v>
      </c>
      <c r="H452" s="176"/>
      <c r="I452" s="148">
        <v>5</v>
      </c>
      <c r="J452" s="148">
        <v>6</v>
      </c>
      <c r="K452" s="157"/>
      <c r="L452" s="51"/>
      <c r="M452" s="51"/>
      <c r="N452" s="51"/>
      <c r="O452" s="52"/>
      <c r="P452" s="44"/>
      <c r="Q452" s="75"/>
    </row>
    <row r="453" spans="1:17" ht="18.75">
      <c r="A453" s="47">
        <v>1</v>
      </c>
      <c r="B453" s="182" t="s">
        <v>441</v>
      </c>
      <c r="C453" s="183"/>
      <c r="D453" s="184"/>
      <c r="E453" s="173">
        <v>346</v>
      </c>
      <c r="F453" s="175"/>
      <c r="G453" s="173">
        <v>250</v>
      </c>
      <c r="H453" s="175"/>
      <c r="I453" s="50">
        <f aca="true" t="shared" si="4" ref="I453:I459">J453/G453</f>
        <v>68.12672</v>
      </c>
      <c r="J453" s="50">
        <f>35000-3250-3000-3310-20000+1730+3797.68+6064</f>
        <v>17031.68</v>
      </c>
      <c r="K453" s="51"/>
      <c r="L453" s="51"/>
      <c r="M453" s="51"/>
      <c r="N453" s="51"/>
      <c r="O453" s="52"/>
      <c r="P453" s="44"/>
      <c r="Q453" s="75"/>
    </row>
    <row r="454" spans="1:17" ht="18.75">
      <c r="A454" s="47">
        <v>2</v>
      </c>
      <c r="B454" s="182" t="s">
        <v>335</v>
      </c>
      <c r="C454" s="183"/>
      <c r="D454" s="184"/>
      <c r="E454" s="173">
        <v>346</v>
      </c>
      <c r="F454" s="175"/>
      <c r="G454" s="173">
        <v>170</v>
      </c>
      <c r="H454" s="175"/>
      <c r="I454" s="50">
        <f t="shared" si="4"/>
        <v>374.58235294117645</v>
      </c>
      <c r="J454" s="50">
        <f>34781.68+6691.32+23936-1730</f>
        <v>63679</v>
      </c>
      <c r="K454" s="51"/>
      <c r="L454" s="51"/>
      <c r="M454" s="51"/>
      <c r="N454" s="51"/>
      <c r="O454" s="52"/>
      <c r="P454" s="44"/>
      <c r="Q454" s="75"/>
    </row>
    <row r="455" spans="1:17" ht="18.75" customHeight="1">
      <c r="A455" s="47">
        <v>3</v>
      </c>
      <c r="B455" s="182" t="s">
        <v>361</v>
      </c>
      <c r="C455" s="183"/>
      <c r="D455" s="184"/>
      <c r="E455" s="173">
        <v>346</v>
      </c>
      <c r="F455" s="175"/>
      <c r="G455" s="173">
        <v>40</v>
      </c>
      <c r="H455" s="175"/>
      <c r="I455" s="50">
        <f t="shared" si="4"/>
        <v>156.25</v>
      </c>
      <c r="J455" s="50">
        <v>6250</v>
      </c>
      <c r="K455" s="51"/>
      <c r="L455" s="51"/>
      <c r="M455" s="51"/>
      <c r="N455" s="51"/>
      <c r="O455" s="52"/>
      <c r="P455" s="44"/>
      <c r="Q455" s="75"/>
    </row>
    <row r="456" spans="1:17" ht="18.75" customHeight="1">
      <c r="A456" s="47">
        <v>4</v>
      </c>
      <c r="B456" s="182" t="s">
        <v>364</v>
      </c>
      <c r="C456" s="183"/>
      <c r="D456" s="184"/>
      <c r="E456" s="173">
        <v>346</v>
      </c>
      <c r="F456" s="175"/>
      <c r="G456" s="173">
        <v>85</v>
      </c>
      <c r="H456" s="175"/>
      <c r="I456" s="50">
        <f t="shared" si="4"/>
        <v>71.88235294117646</v>
      </c>
      <c r="J456" s="50">
        <f>3310+20000+4800-22000</f>
        <v>6110</v>
      </c>
      <c r="K456" s="51"/>
      <c r="L456" s="51"/>
      <c r="M456" s="51"/>
      <c r="N456" s="51"/>
      <c r="O456" s="52"/>
      <c r="P456" s="44"/>
      <c r="Q456" s="75"/>
    </row>
    <row r="457" spans="1:17" ht="18.75" customHeight="1">
      <c r="A457" s="47">
        <v>5</v>
      </c>
      <c r="B457" s="182" t="s">
        <v>365</v>
      </c>
      <c r="C457" s="183"/>
      <c r="D457" s="184"/>
      <c r="E457" s="173">
        <v>346</v>
      </c>
      <c r="F457" s="175"/>
      <c r="G457" s="173">
        <v>100</v>
      </c>
      <c r="H457" s="175"/>
      <c r="I457" s="50">
        <f t="shared" si="4"/>
        <v>126.7</v>
      </c>
      <c r="J457" s="50">
        <v>12670</v>
      </c>
      <c r="K457" s="51"/>
      <c r="L457" s="51"/>
      <c r="M457" s="51"/>
      <c r="N457" s="51"/>
      <c r="O457" s="52"/>
      <c r="P457" s="44"/>
      <c r="Q457" s="75"/>
    </row>
    <row r="458" spans="1:17" ht="18.75" customHeight="1">
      <c r="A458" s="47">
        <v>6</v>
      </c>
      <c r="B458" s="182" t="s">
        <v>367</v>
      </c>
      <c r="C458" s="183"/>
      <c r="D458" s="184"/>
      <c r="E458" s="173">
        <v>346</v>
      </c>
      <c r="F458" s="175"/>
      <c r="G458" s="173">
        <v>100</v>
      </c>
      <c r="H458" s="175"/>
      <c r="I458" s="50">
        <f t="shared" si="4"/>
        <v>70.41</v>
      </c>
      <c r="J458" s="50">
        <v>7041</v>
      </c>
      <c r="K458" s="51"/>
      <c r="L458" s="51"/>
      <c r="M458" s="51"/>
      <c r="N458" s="51"/>
      <c r="O458" s="52"/>
      <c r="P458" s="44"/>
      <c r="Q458" s="75"/>
    </row>
    <row r="459" spans="1:17" ht="18.75" customHeight="1">
      <c r="A459" s="47">
        <v>7</v>
      </c>
      <c r="B459" s="182" t="s">
        <v>372</v>
      </c>
      <c r="C459" s="183"/>
      <c r="D459" s="184"/>
      <c r="E459" s="173">
        <v>346</v>
      </c>
      <c r="F459" s="175"/>
      <c r="G459" s="173">
        <v>100</v>
      </c>
      <c r="H459" s="175"/>
      <c r="I459" s="50">
        <f t="shared" si="4"/>
        <v>157.96</v>
      </c>
      <c r="J459" s="50">
        <f>22160-6364</f>
        <v>15796</v>
      </c>
      <c r="K459" s="51"/>
      <c r="L459" s="51"/>
      <c r="M459" s="51"/>
      <c r="N459" s="51"/>
      <c r="O459" s="52"/>
      <c r="P459" s="44"/>
      <c r="Q459" s="75"/>
    </row>
    <row r="460" spans="1:17" ht="18.75" customHeight="1">
      <c r="A460" s="47">
        <v>8</v>
      </c>
      <c r="B460" s="182" t="s">
        <v>491</v>
      </c>
      <c r="C460" s="183"/>
      <c r="D460" s="184"/>
      <c r="E460" s="173">
        <v>346</v>
      </c>
      <c r="F460" s="175"/>
      <c r="G460" s="173">
        <v>150</v>
      </c>
      <c r="H460" s="175"/>
      <c r="I460" s="50">
        <f>J460/G460</f>
        <v>189.09333333333333</v>
      </c>
      <c r="J460" s="50">
        <f>28364</f>
        <v>28364</v>
      </c>
      <c r="K460" s="51"/>
      <c r="L460" s="51"/>
      <c r="M460" s="51"/>
      <c r="N460" s="51"/>
      <c r="O460" s="52"/>
      <c r="P460" s="44"/>
      <c r="Q460" s="75"/>
    </row>
    <row r="461" spans="1:17" ht="18.75">
      <c r="A461" s="47"/>
      <c r="B461" s="173" t="s">
        <v>130</v>
      </c>
      <c r="C461" s="174"/>
      <c r="D461" s="175"/>
      <c r="E461" s="176"/>
      <c r="F461" s="176"/>
      <c r="G461" s="176"/>
      <c r="H461" s="176"/>
      <c r="I461" s="47" t="s">
        <v>7</v>
      </c>
      <c r="J461" s="50">
        <f>SUM(J453:J460)</f>
        <v>156941.68</v>
      </c>
      <c r="K461" s="51"/>
      <c r="L461" s="51"/>
      <c r="M461" s="51"/>
      <c r="N461" s="51"/>
      <c r="O461" s="52"/>
      <c r="P461" s="44"/>
      <c r="Q461" s="75"/>
    </row>
    <row r="462" spans="1:17" ht="18.75">
      <c r="A462" s="54"/>
      <c r="B462" s="54"/>
      <c r="C462" s="53"/>
      <c r="D462" s="54"/>
      <c r="E462" s="54"/>
      <c r="F462" s="61"/>
      <c r="G462" s="51"/>
      <c r="H462" s="51"/>
      <c r="I462" s="51"/>
      <c r="J462" s="51"/>
      <c r="K462" s="51"/>
      <c r="L462" s="51"/>
      <c r="M462" s="51"/>
      <c r="N462" s="51"/>
      <c r="O462" s="52"/>
      <c r="P462" s="42"/>
      <c r="Q462" s="75"/>
    </row>
    <row r="463" spans="1:17" ht="18.75">
      <c r="A463" s="51"/>
      <c r="B463" s="51" t="s">
        <v>404</v>
      </c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2"/>
      <c r="P463" s="44"/>
      <c r="Q463" s="75"/>
    </row>
    <row r="464" spans="1:17" ht="18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2"/>
      <c r="P464" s="44"/>
      <c r="Q464" s="75"/>
    </row>
    <row r="465" spans="1:17" ht="56.25" customHeight="1">
      <c r="A465" s="47" t="s">
        <v>151</v>
      </c>
      <c r="B465" s="208" t="s">
        <v>0</v>
      </c>
      <c r="C465" s="208"/>
      <c r="D465" s="208"/>
      <c r="E465" s="208" t="s">
        <v>164</v>
      </c>
      <c r="F465" s="208"/>
      <c r="G465" s="208" t="s">
        <v>186</v>
      </c>
      <c r="H465" s="208"/>
      <c r="I465" s="59" t="s">
        <v>187</v>
      </c>
      <c r="J465" s="59" t="s">
        <v>216</v>
      </c>
      <c r="K465" s="51"/>
      <c r="L465" s="51"/>
      <c r="M465" s="51"/>
      <c r="N465" s="51"/>
      <c r="O465" s="52"/>
      <c r="P465" s="44"/>
      <c r="Q465" s="75"/>
    </row>
    <row r="466" spans="1:17" ht="18.75">
      <c r="A466" s="148">
        <v>1</v>
      </c>
      <c r="B466" s="176">
        <v>2</v>
      </c>
      <c r="C466" s="176"/>
      <c r="D466" s="176"/>
      <c r="E466" s="176">
        <v>3</v>
      </c>
      <c r="F466" s="176"/>
      <c r="G466" s="176">
        <v>4</v>
      </c>
      <c r="H466" s="176"/>
      <c r="I466" s="148">
        <v>5</v>
      </c>
      <c r="J466" s="148">
        <v>6</v>
      </c>
      <c r="K466" s="157"/>
      <c r="L466" s="51"/>
      <c r="M466" s="51"/>
      <c r="N466" s="51"/>
      <c r="O466" s="52"/>
      <c r="P466" s="44"/>
      <c r="Q466" s="75"/>
    </row>
    <row r="467" spans="1:17" ht="18.75" customHeight="1">
      <c r="A467" s="47">
        <v>1</v>
      </c>
      <c r="B467" s="180" t="s">
        <v>373</v>
      </c>
      <c r="C467" s="180"/>
      <c r="D467" s="180"/>
      <c r="E467" s="176">
        <v>349</v>
      </c>
      <c r="F467" s="176"/>
      <c r="G467" s="176">
        <v>16</v>
      </c>
      <c r="H467" s="176"/>
      <c r="I467" s="50">
        <f>J467/G467</f>
        <v>1050.5625</v>
      </c>
      <c r="J467" s="50">
        <v>16809</v>
      </c>
      <c r="K467" s="51"/>
      <c r="L467" s="51"/>
      <c r="M467" s="51"/>
      <c r="N467" s="51"/>
      <c r="O467" s="52"/>
      <c r="P467" s="44"/>
      <c r="Q467" s="75"/>
    </row>
    <row r="468" spans="1:17" ht="18.75">
      <c r="A468" s="47"/>
      <c r="B468" s="173" t="s">
        <v>130</v>
      </c>
      <c r="C468" s="174"/>
      <c r="D468" s="175"/>
      <c r="E468" s="176"/>
      <c r="F468" s="176"/>
      <c r="G468" s="176"/>
      <c r="H468" s="176"/>
      <c r="I468" s="47" t="s">
        <v>7</v>
      </c>
      <c r="J468" s="50">
        <f>SUM(J467:J467)</f>
        <v>16809</v>
      </c>
      <c r="K468" s="51"/>
      <c r="L468" s="51"/>
      <c r="M468" s="51"/>
      <c r="N468" s="51"/>
      <c r="O468" s="52"/>
      <c r="P468" s="44"/>
      <c r="Q468" s="75"/>
    </row>
    <row r="469" spans="1:17" ht="18.75">
      <c r="A469" s="54"/>
      <c r="B469" s="54"/>
      <c r="C469" s="53"/>
      <c r="D469" s="54"/>
      <c r="E469" s="54"/>
      <c r="F469" s="61"/>
      <c r="G469" s="51"/>
      <c r="H469" s="51"/>
      <c r="I469" s="51"/>
      <c r="J469" s="51"/>
      <c r="K469" s="51"/>
      <c r="L469" s="51"/>
      <c r="M469" s="51"/>
      <c r="N469" s="51"/>
      <c r="O469" s="52"/>
      <c r="P469" s="42"/>
      <c r="Q469" s="75"/>
    </row>
    <row r="470" spans="1:17" ht="18.75">
      <c r="A470" s="51"/>
      <c r="B470" s="123" t="s">
        <v>405</v>
      </c>
      <c r="C470" s="123"/>
      <c r="D470" s="123"/>
      <c r="E470" s="123"/>
      <c r="F470" s="123"/>
      <c r="G470" s="123"/>
      <c r="H470" s="123"/>
      <c r="I470" s="123"/>
      <c r="J470" s="123"/>
      <c r="K470" s="157"/>
      <c r="L470" s="157"/>
      <c r="M470" s="51"/>
      <c r="N470" s="51"/>
      <c r="O470" s="52"/>
      <c r="P470" s="42"/>
      <c r="Q470" s="75"/>
    </row>
    <row r="471" spans="1:17" ht="18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2"/>
      <c r="P471" s="42"/>
      <c r="Q471" s="75"/>
    </row>
    <row r="472" spans="1:17" ht="56.25" customHeight="1">
      <c r="A472" s="47" t="s">
        <v>151</v>
      </c>
      <c r="B472" s="208" t="s">
        <v>0</v>
      </c>
      <c r="C472" s="208"/>
      <c r="D472" s="208"/>
      <c r="E472" s="208" t="s">
        <v>164</v>
      </c>
      <c r="F472" s="208"/>
      <c r="G472" s="208" t="s">
        <v>182</v>
      </c>
      <c r="H472" s="208"/>
      <c r="I472" s="59" t="s">
        <v>183</v>
      </c>
      <c r="J472" s="59" t="s">
        <v>184</v>
      </c>
      <c r="K472" s="51"/>
      <c r="L472" s="51"/>
      <c r="M472" s="51"/>
      <c r="N472" s="51"/>
      <c r="O472" s="52"/>
      <c r="P472" s="42"/>
      <c r="Q472" s="75"/>
    </row>
    <row r="473" spans="1:17" ht="18.75">
      <c r="A473" s="148">
        <v>1</v>
      </c>
      <c r="B473" s="176">
        <v>2</v>
      </c>
      <c r="C473" s="176"/>
      <c r="D473" s="176"/>
      <c r="E473" s="176">
        <v>3</v>
      </c>
      <c r="F473" s="176"/>
      <c r="G473" s="176">
        <v>4</v>
      </c>
      <c r="H473" s="176"/>
      <c r="I473" s="148">
        <v>5</v>
      </c>
      <c r="J473" s="148">
        <v>6</v>
      </c>
      <c r="K473" s="51"/>
      <c r="L473" s="103"/>
      <c r="M473" s="51"/>
      <c r="N473" s="51"/>
      <c r="O473" s="52"/>
      <c r="P473" s="42"/>
      <c r="Q473" s="75"/>
    </row>
    <row r="474" spans="1:17" ht="18.75" customHeight="1">
      <c r="A474" s="47">
        <v>1</v>
      </c>
      <c r="B474" s="180" t="s">
        <v>338</v>
      </c>
      <c r="C474" s="180"/>
      <c r="D474" s="180"/>
      <c r="E474" s="176">
        <v>225</v>
      </c>
      <c r="F474" s="176"/>
      <c r="G474" s="176" t="s">
        <v>207</v>
      </c>
      <c r="H474" s="176"/>
      <c r="I474" s="47">
        <v>1</v>
      </c>
      <c r="J474" s="50">
        <f>20606.06+20606.61+24000-51300-11073.6</f>
        <v>2839.069999999998</v>
      </c>
      <c r="K474" s="51"/>
      <c r="L474" s="103"/>
      <c r="M474" s="51"/>
      <c r="N474" s="51"/>
      <c r="O474" s="52"/>
      <c r="P474" s="42"/>
      <c r="Q474" s="75"/>
    </row>
    <row r="475" spans="1:17" ht="40.5" customHeight="1">
      <c r="A475" s="47">
        <v>2</v>
      </c>
      <c r="B475" s="180" t="s">
        <v>461</v>
      </c>
      <c r="C475" s="180"/>
      <c r="D475" s="180"/>
      <c r="E475" s="176">
        <v>225</v>
      </c>
      <c r="F475" s="176"/>
      <c r="G475" s="176" t="s">
        <v>300</v>
      </c>
      <c r="H475" s="176"/>
      <c r="I475" s="47">
        <v>0</v>
      </c>
      <c r="J475" s="50">
        <f>1745.72-1745.72</f>
        <v>0</v>
      </c>
      <c r="K475" s="51"/>
      <c r="L475" s="51"/>
      <c r="M475" s="51"/>
      <c r="N475" s="51"/>
      <c r="O475" s="52"/>
      <c r="P475" s="42"/>
      <c r="Q475" s="75"/>
    </row>
    <row r="476" spans="1:17" ht="40.5" customHeight="1">
      <c r="A476" s="47">
        <v>3</v>
      </c>
      <c r="B476" s="180" t="s">
        <v>488</v>
      </c>
      <c r="C476" s="180"/>
      <c r="D476" s="180"/>
      <c r="E476" s="176">
        <v>225</v>
      </c>
      <c r="F476" s="176"/>
      <c r="G476" s="176" t="s">
        <v>300</v>
      </c>
      <c r="H476" s="176"/>
      <c r="I476" s="47">
        <v>1</v>
      </c>
      <c r="J476" s="50">
        <f>51300</f>
        <v>51300</v>
      </c>
      <c r="K476" s="51"/>
      <c r="L476" s="103"/>
      <c r="M476" s="51"/>
      <c r="N476" s="51"/>
      <c r="O476" s="52"/>
      <c r="P476" s="42"/>
      <c r="Q476" s="75"/>
    </row>
    <row r="477" spans="1:17" ht="18.75">
      <c r="A477" s="47"/>
      <c r="B477" s="173" t="s">
        <v>130</v>
      </c>
      <c r="C477" s="174"/>
      <c r="D477" s="175"/>
      <c r="E477" s="173"/>
      <c r="F477" s="175"/>
      <c r="G477" s="176" t="s">
        <v>7</v>
      </c>
      <c r="H477" s="176"/>
      <c r="I477" s="47" t="s">
        <v>7</v>
      </c>
      <c r="J477" s="50">
        <f>SUM(J474:J476)</f>
        <v>54139.07</v>
      </c>
      <c r="K477" s="51"/>
      <c r="L477" s="103"/>
      <c r="M477" s="51"/>
      <c r="N477" s="51"/>
      <c r="O477" s="52"/>
      <c r="P477" s="42"/>
      <c r="Q477" s="75"/>
    </row>
    <row r="478" spans="1:17" ht="18.75">
      <c r="A478" s="54"/>
      <c r="B478" s="54"/>
      <c r="C478" s="53"/>
      <c r="D478" s="54"/>
      <c r="E478" s="54"/>
      <c r="F478" s="61"/>
      <c r="G478" s="51"/>
      <c r="H478" s="51"/>
      <c r="I478" s="51"/>
      <c r="J478" s="51"/>
      <c r="K478" s="51"/>
      <c r="L478" s="51"/>
      <c r="M478" s="51"/>
      <c r="N478" s="51"/>
      <c r="O478" s="52"/>
      <c r="P478" s="42"/>
      <c r="Q478" s="75"/>
    </row>
    <row r="479" spans="1:17" ht="18.75">
      <c r="A479" s="51"/>
      <c r="B479" s="123" t="s">
        <v>406</v>
      </c>
      <c r="C479" s="123"/>
      <c r="D479" s="123"/>
      <c r="E479" s="123"/>
      <c r="F479" s="123"/>
      <c r="G479" s="123"/>
      <c r="H479" s="123"/>
      <c r="I479" s="123"/>
      <c r="J479" s="123"/>
      <c r="K479" s="157"/>
      <c r="L479" s="157"/>
      <c r="M479" s="51"/>
      <c r="N479" s="51"/>
      <c r="O479" s="52"/>
      <c r="P479" s="42"/>
      <c r="Q479" s="75"/>
    </row>
    <row r="480" spans="1:17" ht="18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2"/>
      <c r="P480" s="42"/>
      <c r="Q480" s="75"/>
    </row>
    <row r="481" spans="1:17" ht="37.5">
      <c r="A481" s="47" t="s">
        <v>151</v>
      </c>
      <c r="B481" s="208" t="s">
        <v>0</v>
      </c>
      <c r="C481" s="208"/>
      <c r="D481" s="208"/>
      <c r="E481" s="208" t="s">
        <v>164</v>
      </c>
      <c r="F481" s="208"/>
      <c r="G481" s="208" t="s">
        <v>182</v>
      </c>
      <c r="H481" s="208"/>
      <c r="I481" s="59" t="s">
        <v>183</v>
      </c>
      <c r="J481" s="59" t="s">
        <v>184</v>
      </c>
      <c r="K481" s="51"/>
      <c r="L481" s="51"/>
      <c r="M481" s="51"/>
      <c r="N481" s="51"/>
      <c r="O481" s="52"/>
      <c r="P481" s="42"/>
      <c r="Q481" s="75"/>
    </row>
    <row r="482" spans="1:17" ht="18.75">
      <c r="A482" s="148">
        <v>1</v>
      </c>
      <c r="B482" s="176">
        <v>2</v>
      </c>
      <c r="C482" s="176"/>
      <c r="D482" s="176"/>
      <c r="E482" s="176">
        <v>3</v>
      </c>
      <c r="F482" s="176"/>
      <c r="G482" s="176">
        <v>4</v>
      </c>
      <c r="H482" s="176"/>
      <c r="I482" s="148">
        <v>5</v>
      </c>
      <c r="J482" s="148">
        <v>6</v>
      </c>
      <c r="K482" s="51"/>
      <c r="L482" s="103"/>
      <c r="M482" s="51"/>
      <c r="N482" s="51"/>
      <c r="O482" s="52"/>
      <c r="P482" s="42"/>
      <c r="Q482" s="75"/>
    </row>
    <row r="483" spans="1:17" ht="51.75" customHeight="1">
      <c r="A483" s="47">
        <v>1</v>
      </c>
      <c r="B483" s="212" t="s">
        <v>371</v>
      </c>
      <c r="C483" s="213"/>
      <c r="D483" s="214"/>
      <c r="E483" s="176">
        <v>226</v>
      </c>
      <c r="F483" s="176"/>
      <c r="G483" s="176" t="s">
        <v>207</v>
      </c>
      <c r="H483" s="176"/>
      <c r="I483" s="47">
        <v>1</v>
      </c>
      <c r="J483" s="50">
        <f>153699.9-61210-3160-23505.36-29295-4608-12000-7800+106094.4</f>
        <v>118215.93999999999</v>
      </c>
      <c r="K483" s="51"/>
      <c r="L483" s="51"/>
      <c r="M483" s="51"/>
      <c r="N483" s="51"/>
      <c r="O483" s="52"/>
      <c r="P483" s="42"/>
      <c r="Q483" s="75"/>
    </row>
    <row r="484" spans="1:17" ht="18.75">
      <c r="A484" s="47"/>
      <c r="B484" s="173" t="s">
        <v>130</v>
      </c>
      <c r="C484" s="174"/>
      <c r="D484" s="175"/>
      <c r="E484" s="173"/>
      <c r="F484" s="175"/>
      <c r="G484" s="176" t="s">
        <v>7</v>
      </c>
      <c r="H484" s="176"/>
      <c r="I484" s="47" t="s">
        <v>7</v>
      </c>
      <c r="J484" s="50">
        <f>SUM(J483:J483)</f>
        <v>118215.93999999999</v>
      </c>
      <c r="K484" s="51"/>
      <c r="L484" s="103"/>
      <c r="M484" s="51"/>
      <c r="N484" s="51"/>
      <c r="O484" s="52"/>
      <c r="P484" s="42"/>
      <c r="Q484" s="75"/>
    </row>
    <row r="485" spans="1:17" ht="18.75">
      <c r="A485" s="54"/>
      <c r="B485" s="54"/>
      <c r="C485" s="53"/>
      <c r="D485" s="54"/>
      <c r="E485" s="54"/>
      <c r="F485" s="61"/>
      <c r="G485" s="51"/>
      <c r="H485" s="51"/>
      <c r="I485" s="51"/>
      <c r="J485" s="51"/>
      <c r="K485" s="51"/>
      <c r="L485" s="51"/>
      <c r="M485" s="51"/>
      <c r="N485" s="51"/>
      <c r="O485" s="52"/>
      <c r="P485" s="42"/>
      <c r="Q485" s="75"/>
    </row>
    <row r="486" spans="1:17" ht="18.75">
      <c r="A486" s="51"/>
      <c r="B486" s="51" t="s">
        <v>407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2"/>
      <c r="P486" s="44"/>
      <c r="Q486" s="75"/>
    </row>
    <row r="487" spans="1:17" ht="18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2"/>
      <c r="P487" s="44"/>
      <c r="Q487" s="75"/>
    </row>
    <row r="488" spans="1:17" ht="56.25">
      <c r="A488" s="47" t="s">
        <v>151</v>
      </c>
      <c r="B488" s="208" t="s">
        <v>0</v>
      </c>
      <c r="C488" s="208"/>
      <c r="D488" s="208"/>
      <c r="E488" s="208" t="s">
        <v>164</v>
      </c>
      <c r="F488" s="208"/>
      <c r="G488" s="208" t="s">
        <v>186</v>
      </c>
      <c r="H488" s="208"/>
      <c r="I488" s="59" t="s">
        <v>187</v>
      </c>
      <c r="J488" s="59" t="s">
        <v>216</v>
      </c>
      <c r="K488" s="51"/>
      <c r="L488" s="51"/>
      <c r="M488" s="51"/>
      <c r="N488" s="51"/>
      <c r="O488" s="52"/>
      <c r="P488" s="44"/>
      <c r="Q488" s="75"/>
    </row>
    <row r="489" spans="1:17" ht="18.75">
      <c r="A489" s="148">
        <v>1</v>
      </c>
      <c r="B489" s="176">
        <v>2</v>
      </c>
      <c r="C489" s="176"/>
      <c r="D489" s="176"/>
      <c r="E489" s="176">
        <v>3</v>
      </c>
      <c r="F489" s="176"/>
      <c r="G489" s="176">
        <v>4</v>
      </c>
      <c r="H489" s="176"/>
      <c r="I489" s="148">
        <v>5</v>
      </c>
      <c r="J489" s="148">
        <v>6</v>
      </c>
      <c r="K489" s="157"/>
      <c r="L489" s="51"/>
      <c r="M489" s="51"/>
      <c r="N489" s="51"/>
      <c r="O489" s="52"/>
      <c r="P489" s="44"/>
      <c r="Q489" s="75"/>
    </row>
    <row r="490" spans="1:17" ht="42.75" customHeight="1">
      <c r="A490" s="47">
        <v>1</v>
      </c>
      <c r="B490" s="180" t="s">
        <v>442</v>
      </c>
      <c r="C490" s="180"/>
      <c r="D490" s="180"/>
      <c r="E490" s="176">
        <v>344</v>
      </c>
      <c r="F490" s="176"/>
      <c r="G490" s="176">
        <v>10</v>
      </c>
      <c r="H490" s="176"/>
      <c r="I490" s="50">
        <f>J490/G490</f>
        <v>492</v>
      </c>
      <c r="J490" s="50">
        <f>3270+1650</f>
        <v>4920</v>
      </c>
      <c r="K490" s="51"/>
      <c r="L490" s="51"/>
      <c r="M490" s="51"/>
      <c r="N490" s="51"/>
      <c r="O490" s="52"/>
      <c r="P490" s="44"/>
      <c r="Q490" s="75"/>
    </row>
    <row r="491" spans="1:17" ht="44.25" customHeight="1">
      <c r="A491" s="47">
        <v>2</v>
      </c>
      <c r="B491" s="180" t="s">
        <v>296</v>
      </c>
      <c r="C491" s="180"/>
      <c r="D491" s="180"/>
      <c r="E491" s="176">
        <v>344</v>
      </c>
      <c r="F491" s="176"/>
      <c r="G491" s="176">
        <v>10</v>
      </c>
      <c r="H491" s="176"/>
      <c r="I491" s="50">
        <f>J491/G491</f>
        <v>500</v>
      </c>
      <c r="J491" s="50">
        <v>5000</v>
      </c>
      <c r="K491" s="51"/>
      <c r="L491" s="51"/>
      <c r="M491" s="51"/>
      <c r="N491" s="51"/>
      <c r="O491" s="52"/>
      <c r="P491" s="44"/>
      <c r="Q491" s="75"/>
    </row>
    <row r="492" spans="1:17" ht="18.75">
      <c r="A492" s="47"/>
      <c r="B492" s="173" t="s">
        <v>130</v>
      </c>
      <c r="C492" s="174"/>
      <c r="D492" s="175"/>
      <c r="E492" s="176"/>
      <c r="F492" s="176"/>
      <c r="G492" s="176"/>
      <c r="H492" s="176"/>
      <c r="I492" s="47" t="s">
        <v>7</v>
      </c>
      <c r="J492" s="50">
        <f>SUM(J490:J491)</f>
        <v>9920</v>
      </c>
      <c r="K492" s="51"/>
      <c r="L492" s="51"/>
      <c r="M492" s="51"/>
      <c r="N492" s="51"/>
      <c r="O492" s="52"/>
      <c r="P492" s="44"/>
      <c r="Q492" s="75"/>
    </row>
    <row r="493" spans="1:17" ht="18.75">
      <c r="A493" s="54"/>
      <c r="B493" s="54"/>
      <c r="C493" s="53"/>
      <c r="D493" s="54"/>
      <c r="E493" s="54"/>
      <c r="F493" s="61"/>
      <c r="G493" s="51"/>
      <c r="H493" s="51"/>
      <c r="I493" s="51"/>
      <c r="J493" s="51"/>
      <c r="K493" s="51"/>
      <c r="L493" s="51"/>
      <c r="M493" s="51"/>
      <c r="N493" s="51"/>
      <c r="O493" s="52"/>
      <c r="P493" s="42"/>
      <c r="Q493" s="75"/>
    </row>
    <row r="494" spans="1:17" ht="18.75">
      <c r="A494" s="51"/>
      <c r="B494" s="51" t="s">
        <v>408</v>
      </c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2"/>
      <c r="P494" s="44"/>
      <c r="Q494" s="75"/>
    </row>
    <row r="495" spans="1:17" ht="18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2"/>
      <c r="P495" s="44"/>
      <c r="Q495" s="75"/>
    </row>
    <row r="496" spans="1:17" ht="56.25">
      <c r="A496" s="47" t="s">
        <v>151</v>
      </c>
      <c r="B496" s="208" t="s">
        <v>0</v>
      </c>
      <c r="C496" s="208"/>
      <c r="D496" s="208"/>
      <c r="E496" s="208" t="s">
        <v>164</v>
      </c>
      <c r="F496" s="208"/>
      <c r="G496" s="208" t="s">
        <v>186</v>
      </c>
      <c r="H496" s="208"/>
      <c r="I496" s="59" t="s">
        <v>187</v>
      </c>
      <c r="J496" s="59" t="s">
        <v>216</v>
      </c>
      <c r="K496" s="51"/>
      <c r="L496" s="51"/>
      <c r="M496" s="51"/>
      <c r="N496" s="51"/>
      <c r="O496" s="52"/>
      <c r="P496" s="44"/>
      <c r="Q496" s="75"/>
    </row>
    <row r="497" spans="1:17" ht="18.75">
      <c r="A497" s="148">
        <v>1</v>
      </c>
      <c r="B497" s="176">
        <v>2</v>
      </c>
      <c r="C497" s="176"/>
      <c r="D497" s="176"/>
      <c r="E497" s="176">
        <v>3</v>
      </c>
      <c r="F497" s="176"/>
      <c r="G497" s="176">
        <v>4</v>
      </c>
      <c r="H497" s="176"/>
      <c r="I497" s="148">
        <v>5</v>
      </c>
      <c r="J497" s="148">
        <v>6</v>
      </c>
      <c r="K497" s="157"/>
      <c r="L497" s="51"/>
      <c r="M497" s="51"/>
      <c r="N497" s="51"/>
      <c r="O497" s="52"/>
      <c r="P497" s="44"/>
      <c r="Q497" s="75"/>
    </row>
    <row r="498" spans="1:17" ht="60.75" customHeight="1">
      <c r="A498" s="47">
        <v>1</v>
      </c>
      <c r="B498" s="180" t="s">
        <v>443</v>
      </c>
      <c r="C498" s="180"/>
      <c r="D498" s="180"/>
      <c r="E498" s="176">
        <v>344</v>
      </c>
      <c r="F498" s="176"/>
      <c r="G498" s="176">
        <v>0</v>
      </c>
      <c r="H498" s="176"/>
      <c r="I498" s="50" t="e">
        <f>J498/G498</f>
        <v>#DIV/0!</v>
      </c>
      <c r="J498" s="50">
        <f>6624.1-5343.36-1280.74</f>
        <v>0</v>
      </c>
      <c r="K498" s="51"/>
      <c r="L498" s="51"/>
      <c r="M498" s="51"/>
      <c r="N498" s="51"/>
      <c r="O498" s="52"/>
      <c r="P498" s="44"/>
      <c r="Q498" s="75"/>
    </row>
    <row r="499" spans="1:17" ht="60.75" customHeight="1">
      <c r="A499" s="47">
        <v>2</v>
      </c>
      <c r="B499" s="180" t="s">
        <v>493</v>
      </c>
      <c r="C499" s="180"/>
      <c r="D499" s="180"/>
      <c r="E499" s="176">
        <v>344</v>
      </c>
      <c r="F499" s="176"/>
      <c r="G499" s="176">
        <v>20</v>
      </c>
      <c r="H499" s="176"/>
      <c r="I499" s="50">
        <f>J499/G499</f>
        <v>1442.4360000000001</v>
      </c>
      <c r="J499" s="50">
        <f>5343.36+23505.36</f>
        <v>28848.72</v>
      </c>
      <c r="K499" s="51"/>
      <c r="L499" s="51"/>
      <c r="M499" s="51"/>
      <c r="N499" s="51"/>
      <c r="O499" s="52"/>
      <c r="P499" s="44"/>
      <c r="Q499" s="75"/>
    </row>
    <row r="500" spans="1:17" ht="18.75">
      <c r="A500" s="47"/>
      <c r="B500" s="173" t="s">
        <v>130</v>
      </c>
      <c r="C500" s="174"/>
      <c r="D500" s="175"/>
      <c r="E500" s="176"/>
      <c r="F500" s="176"/>
      <c r="G500" s="176"/>
      <c r="H500" s="176"/>
      <c r="I500" s="47" t="s">
        <v>7</v>
      </c>
      <c r="J500" s="50">
        <f>SUM(J498:J499)</f>
        <v>28848.72</v>
      </c>
      <c r="K500" s="51"/>
      <c r="L500" s="51"/>
      <c r="M500" s="51"/>
      <c r="N500" s="51"/>
      <c r="O500" s="52"/>
      <c r="P500" s="44"/>
      <c r="Q500" s="75"/>
    </row>
    <row r="501" spans="1:17" ht="18.75">
      <c r="A501" s="54"/>
      <c r="B501" s="54"/>
      <c r="C501" s="53"/>
      <c r="D501" s="54"/>
      <c r="E501" s="54"/>
      <c r="F501" s="61"/>
      <c r="G501" s="51"/>
      <c r="H501" s="51"/>
      <c r="I501" s="51"/>
      <c r="J501" s="51"/>
      <c r="K501" s="51"/>
      <c r="L501" s="51"/>
      <c r="M501" s="51"/>
      <c r="N501" s="51"/>
      <c r="O501" s="52"/>
      <c r="P501" s="42"/>
      <c r="Q501" s="75"/>
    </row>
    <row r="502" spans="1:17" ht="18.75">
      <c r="A502" s="51"/>
      <c r="B502" s="51" t="s">
        <v>471</v>
      </c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2"/>
      <c r="P502" s="44"/>
      <c r="Q502" s="75"/>
    </row>
    <row r="503" spans="1:17" ht="18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2"/>
      <c r="P503" s="44"/>
      <c r="Q503" s="75"/>
    </row>
    <row r="504" spans="1:17" ht="56.25">
      <c r="A504" s="47" t="s">
        <v>151</v>
      </c>
      <c r="B504" s="208" t="s">
        <v>0</v>
      </c>
      <c r="C504" s="208"/>
      <c r="D504" s="208"/>
      <c r="E504" s="208" t="s">
        <v>164</v>
      </c>
      <c r="F504" s="208"/>
      <c r="G504" s="208" t="s">
        <v>186</v>
      </c>
      <c r="H504" s="208"/>
      <c r="I504" s="59" t="s">
        <v>187</v>
      </c>
      <c r="J504" s="59" t="s">
        <v>216</v>
      </c>
      <c r="K504" s="51"/>
      <c r="L504" s="51"/>
      <c r="M504" s="51"/>
      <c r="N504" s="51"/>
      <c r="O504" s="52"/>
      <c r="P504" s="44"/>
      <c r="Q504" s="75"/>
    </row>
    <row r="505" spans="1:17" ht="18.75">
      <c r="A505" s="148">
        <v>1</v>
      </c>
      <c r="B505" s="176">
        <v>2</v>
      </c>
      <c r="C505" s="176"/>
      <c r="D505" s="176"/>
      <c r="E505" s="176">
        <v>3</v>
      </c>
      <c r="F505" s="176"/>
      <c r="G505" s="176">
        <v>4</v>
      </c>
      <c r="H505" s="176"/>
      <c r="I505" s="148">
        <v>5</v>
      </c>
      <c r="J505" s="148">
        <v>6</v>
      </c>
      <c r="K505" s="157"/>
      <c r="L505" s="51"/>
      <c r="M505" s="51"/>
      <c r="N505" s="51"/>
      <c r="O505" s="52"/>
      <c r="P505" s="44"/>
      <c r="Q505" s="75"/>
    </row>
    <row r="506" spans="1:17" ht="18.75">
      <c r="A506" s="47">
        <v>1</v>
      </c>
      <c r="B506" s="180" t="s">
        <v>480</v>
      </c>
      <c r="C506" s="180"/>
      <c r="D506" s="180"/>
      <c r="E506" s="176">
        <v>310</v>
      </c>
      <c r="F506" s="176"/>
      <c r="G506" s="176">
        <v>2</v>
      </c>
      <c r="H506" s="176"/>
      <c r="I506" s="50">
        <f>J506/G506</f>
        <v>543.79</v>
      </c>
      <c r="J506" s="50">
        <f>3160-2072.42</f>
        <v>1087.58</v>
      </c>
      <c r="K506" s="51"/>
      <c r="L506" s="51"/>
      <c r="M506" s="51"/>
      <c r="N506" s="51"/>
      <c r="O506" s="52"/>
      <c r="P506" s="44"/>
      <c r="Q506" s="75"/>
    </row>
    <row r="507" spans="1:17" ht="18.75">
      <c r="A507" s="47">
        <v>2</v>
      </c>
      <c r="B507" s="180" t="s">
        <v>495</v>
      </c>
      <c r="C507" s="180"/>
      <c r="D507" s="180"/>
      <c r="E507" s="176">
        <v>310</v>
      </c>
      <c r="F507" s="176"/>
      <c r="G507" s="176">
        <v>3</v>
      </c>
      <c r="H507" s="176"/>
      <c r="I507" s="50">
        <f>J507/G507</f>
        <v>9765</v>
      </c>
      <c r="J507" s="50">
        <f>29295</f>
        <v>29295</v>
      </c>
      <c r="K507" s="51"/>
      <c r="L507" s="51"/>
      <c r="M507" s="51"/>
      <c r="N507" s="51"/>
      <c r="O507" s="52"/>
      <c r="P507" s="44"/>
      <c r="Q507" s="75"/>
    </row>
    <row r="508" spans="1:17" ht="18.75">
      <c r="A508" s="47">
        <v>3</v>
      </c>
      <c r="B508" s="180" t="s">
        <v>499</v>
      </c>
      <c r="C508" s="180"/>
      <c r="D508" s="180"/>
      <c r="E508" s="176">
        <v>310</v>
      </c>
      <c r="F508" s="176"/>
      <c r="G508" s="176">
        <v>3</v>
      </c>
      <c r="H508" s="176"/>
      <c r="I508" s="50">
        <f>J508/G508</f>
        <v>2600</v>
      </c>
      <c r="J508" s="50">
        <f>7800</f>
        <v>7800</v>
      </c>
      <c r="K508" s="51"/>
      <c r="L508" s="51"/>
      <c r="M508" s="51"/>
      <c r="N508" s="51"/>
      <c r="O508" s="52"/>
      <c r="P508" s="44"/>
      <c r="Q508" s="75"/>
    </row>
    <row r="509" spans="1:17" ht="18.75">
      <c r="A509" s="47"/>
      <c r="B509" s="173" t="s">
        <v>130</v>
      </c>
      <c r="C509" s="174"/>
      <c r="D509" s="175"/>
      <c r="E509" s="176"/>
      <c r="F509" s="176"/>
      <c r="G509" s="176"/>
      <c r="H509" s="176"/>
      <c r="I509" s="47" t="s">
        <v>7</v>
      </c>
      <c r="J509" s="50">
        <f>SUM(J506:J508)</f>
        <v>38182.58</v>
      </c>
      <c r="K509" s="51"/>
      <c r="L509" s="51"/>
      <c r="M509" s="51"/>
      <c r="N509" s="51"/>
      <c r="O509" s="52"/>
      <c r="P509" s="44"/>
      <c r="Q509" s="75"/>
    </row>
    <row r="510" spans="1:17" ht="18.75">
      <c r="A510" s="54"/>
      <c r="B510" s="54"/>
      <c r="C510" s="53"/>
      <c r="D510" s="54"/>
      <c r="E510" s="54"/>
      <c r="F510" s="61"/>
      <c r="G510" s="51"/>
      <c r="H510" s="51"/>
      <c r="I510" s="51"/>
      <c r="J510" s="51"/>
      <c r="K510" s="51"/>
      <c r="L510" s="51"/>
      <c r="M510" s="51"/>
      <c r="N510" s="51"/>
      <c r="O510" s="52"/>
      <c r="P510" s="42"/>
      <c r="Q510" s="75"/>
    </row>
    <row r="511" spans="1:17" ht="18.75">
      <c r="A511" s="51"/>
      <c r="B511" s="51" t="s">
        <v>501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2"/>
      <c r="P511" s="44"/>
      <c r="Q511" s="75"/>
    </row>
    <row r="512" spans="1:17" ht="18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2"/>
      <c r="P512" s="44"/>
      <c r="Q512" s="75"/>
    </row>
    <row r="513" spans="1:17" ht="56.25">
      <c r="A513" s="47" t="s">
        <v>151</v>
      </c>
      <c r="B513" s="208" t="s">
        <v>0</v>
      </c>
      <c r="C513" s="208"/>
      <c r="D513" s="208"/>
      <c r="E513" s="208" t="s">
        <v>164</v>
      </c>
      <c r="F513" s="208"/>
      <c r="G513" s="208" t="s">
        <v>186</v>
      </c>
      <c r="H513" s="208"/>
      <c r="I513" s="59" t="s">
        <v>187</v>
      </c>
      <c r="J513" s="59" t="s">
        <v>216</v>
      </c>
      <c r="K513" s="51"/>
      <c r="L513" s="51"/>
      <c r="M513" s="51"/>
      <c r="N513" s="51"/>
      <c r="O513" s="52"/>
      <c r="P513" s="44"/>
      <c r="Q513" s="75"/>
    </row>
    <row r="514" spans="1:17" ht="18.75">
      <c r="A514" s="148">
        <v>1</v>
      </c>
      <c r="B514" s="176">
        <v>2</v>
      </c>
      <c r="C514" s="176"/>
      <c r="D514" s="176"/>
      <c r="E514" s="176">
        <v>3</v>
      </c>
      <c r="F514" s="176"/>
      <c r="G514" s="176">
        <v>4</v>
      </c>
      <c r="H514" s="176"/>
      <c r="I514" s="148">
        <v>5</v>
      </c>
      <c r="J514" s="148">
        <v>6</v>
      </c>
      <c r="K514" s="157"/>
      <c r="L514" s="51"/>
      <c r="M514" s="51"/>
      <c r="N514" s="51"/>
      <c r="O514" s="52"/>
      <c r="P514" s="44"/>
      <c r="Q514" s="75"/>
    </row>
    <row r="515" spans="1:17" ht="18.75">
      <c r="A515" s="47">
        <v>1</v>
      </c>
      <c r="B515" s="180" t="s">
        <v>500</v>
      </c>
      <c r="C515" s="180"/>
      <c r="D515" s="180"/>
      <c r="E515" s="176">
        <v>310</v>
      </c>
      <c r="F515" s="176"/>
      <c r="G515" s="176">
        <v>1</v>
      </c>
      <c r="H515" s="176"/>
      <c r="I515" s="50">
        <f>J515/G515</f>
        <v>29680</v>
      </c>
      <c r="J515" s="50">
        <f>29680</f>
        <v>29680</v>
      </c>
      <c r="K515" s="51"/>
      <c r="L515" s="51"/>
      <c r="M515" s="51"/>
      <c r="N515" s="51"/>
      <c r="O515" s="52"/>
      <c r="P515" s="44"/>
      <c r="Q515" s="75"/>
    </row>
    <row r="516" spans="1:17" ht="18.75">
      <c r="A516" s="47"/>
      <c r="B516" s="173" t="s">
        <v>130</v>
      </c>
      <c r="C516" s="174"/>
      <c r="D516" s="175"/>
      <c r="E516" s="176"/>
      <c r="F516" s="176"/>
      <c r="G516" s="176"/>
      <c r="H516" s="176"/>
      <c r="I516" s="47" t="s">
        <v>7</v>
      </c>
      <c r="J516" s="50">
        <f>SUM(J515:J515)</f>
        <v>29680</v>
      </c>
      <c r="K516" s="51"/>
      <c r="L516" s="51"/>
      <c r="M516" s="51"/>
      <c r="N516" s="51"/>
      <c r="O516" s="52"/>
      <c r="P516" s="44"/>
      <c r="Q516" s="75"/>
    </row>
    <row r="517" spans="1:17" ht="18.75">
      <c r="A517" s="54"/>
      <c r="B517" s="54"/>
      <c r="C517" s="53"/>
      <c r="D517" s="54"/>
      <c r="E517" s="54"/>
      <c r="F517" s="61"/>
      <c r="G517" s="51"/>
      <c r="H517" s="51"/>
      <c r="I517" s="51"/>
      <c r="J517" s="51"/>
      <c r="K517" s="51"/>
      <c r="L517" s="51"/>
      <c r="M517" s="51"/>
      <c r="N517" s="51"/>
      <c r="O517" s="52"/>
      <c r="P517" s="42"/>
      <c r="Q517" s="75"/>
    </row>
    <row r="518" spans="1:17" ht="18.75">
      <c r="A518" s="51"/>
      <c r="B518" s="51" t="s">
        <v>478</v>
      </c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2"/>
      <c r="P518" s="44"/>
      <c r="Q518" s="75"/>
    </row>
    <row r="519" spans="1:17" ht="18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2"/>
      <c r="P519" s="44"/>
      <c r="Q519" s="75"/>
    </row>
    <row r="520" spans="1:17" ht="56.25" customHeight="1">
      <c r="A520" s="47" t="s">
        <v>151</v>
      </c>
      <c r="B520" s="208" t="s">
        <v>0</v>
      </c>
      <c r="C520" s="208"/>
      <c r="D520" s="208"/>
      <c r="E520" s="208" t="s">
        <v>164</v>
      </c>
      <c r="F520" s="208"/>
      <c r="G520" s="208" t="s">
        <v>363</v>
      </c>
      <c r="H520" s="208"/>
      <c r="I520" s="59" t="s">
        <v>187</v>
      </c>
      <c r="J520" s="59" t="s">
        <v>216</v>
      </c>
      <c r="K520" s="51"/>
      <c r="L520" s="51"/>
      <c r="M520" s="51"/>
      <c r="N520" s="51"/>
      <c r="O520" s="52"/>
      <c r="P520" s="44"/>
      <c r="Q520" s="75"/>
    </row>
    <row r="521" spans="1:17" ht="18.75">
      <c r="A521" s="148">
        <v>1</v>
      </c>
      <c r="B521" s="176">
        <v>2</v>
      </c>
      <c r="C521" s="176"/>
      <c r="D521" s="176"/>
      <c r="E521" s="176">
        <v>3</v>
      </c>
      <c r="F521" s="176"/>
      <c r="G521" s="176">
        <v>4</v>
      </c>
      <c r="H521" s="176"/>
      <c r="I521" s="148">
        <v>5</v>
      </c>
      <c r="J521" s="148">
        <v>6</v>
      </c>
      <c r="K521" s="157"/>
      <c r="L521" s="51"/>
      <c r="M521" s="51"/>
      <c r="N521" s="51"/>
      <c r="O521" s="52"/>
      <c r="P521" s="44"/>
      <c r="Q521" s="75"/>
    </row>
    <row r="522" spans="1:17" ht="21" customHeight="1">
      <c r="A522" s="47">
        <v>1</v>
      </c>
      <c r="B522" s="182" t="s">
        <v>479</v>
      </c>
      <c r="C522" s="183"/>
      <c r="D522" s="184"/>
      <c r="E522" s="173">
        <v>346</v>
      </c>
      <c r="F522" s="175"/>
      <c r="G522" s="173">
        <v>20</v>
      </c>
      <c r="H522" s="175"/>
      <c r="I522" s="50">
        <f aca="true" t="shared" si="5" ref="I522:I527">J522/G522</f>
        <v>9778.2</v>
      </c>
      <c r="J522" s="50">
        <f>58050+3160-2500-19200-22400-7380-3600+4608+265236-16440-56770-7200</f>
        <v>195564</v>
      </c>
      <c r="K522" s="51"/>
      <c r="L522" s="51"/>
      <c r="M522" s="51"/>
      <c r="N522" s="51"/>
      <c r="O522" s="52"/>
      <c r="P522" s="44"/>
      <c r="Q522" s="75"/>
    </row>
    <row r="523" spans="1:17" ht="21" customHeight="1">
      <c r="A523" s="47">
        <v>2</v>
      </c>
      <c r="B523" s="182" t="s">
        <v>482</v>
      </c>
      <c r="C523" s="183"/>
      <c r="D523" s="184"/>
      <c r="E523" s="173">
        <v>346</v>
      </c>
      <c r="F523" s="175"/>
      <c r="G523" s="173">
        <v>1</v>
      </c>
      <c r="H523" s="175"/>
      <c r="I523" s="50">
        <f t="shared" si="5"/>
        <v>2500</v>
      </c>
      <c r="J523" s="50">
        <f>2500</f>
        <v>2500</v>
      </c>
      <c r="K523" s="51"/>
      <c r="L523" s="51"/>
      <c r="M523" s="51"/>
      <c r="N523" s="51"/>
      <c r="O523" s="52"/>
      <c r="P523" s="44"/>
      <c r="Q523" s="75"/>
    </row>
    <row r="524" spans="1:17" ht="21" customHeight="1">
      <c r="A524" s="47">
        <v>3</v>
      </c>
      <c r="B524" s="182" t="s">
        <v>482</v>
      </c>
      <c r="C524" s="183"/>
      <c r="D524" s="184"/>
      <c r="E524" s="173">
        <v>346</v>
      </c>
      <c r="F524" s="175"/>
      <c r="G524" s="173">
        <v>6</v>
      </c>
      <c r="H524" s="175"/>
      <c r="I524" s="50">
        <f t="shared" si="5"/>
        <v>3200</v>
      </c>
      <c r="J524" s="50">
        <f>19200</f>
        <v>19200</v>
      </c>
      <c r="K524" s="51"/>
      <c r="L524" s="51"/>
      <c r="M524" s="51"/>
      <c r="N524" s="51"/>
      <c r="O524" s="52"/>
      <c r="P524" s="44"/>
      <c r="Q524" s="75"/>
    </row>
    <row r="525" spans="1:17" ht="21" customHeight="1">
      <c r="A525" s="47">
        <v>4</v>
      </c>
      <c r="B525" s="182" t="s">
        <v>483</v>
      </c>
      <c r="C525" s="183"/>
      <c r="D525" s="184"/>
      <c r="E525" s="173">
        <v>346</v>
      </c>
      <c r="F525" s="175"/>
      <c r="G525" s="173">
        <v>15</v>
      </c>
      <c r="H525" s="175"/>
      <c r="I525" s="50">
        <f t="shared" si="5"/>
        <v>5278</v>
      </c>
      <c r="J525" s="50">
        <f>22400+56770</f>
        <v>79170</v>
      </c>
      <c r="K525" s="51"/>
      <c r="L525" s="51"/>
      <c r="M525" s="51"/>
      <c r="N525" s="51"/>
      <c r="O525" s="52"/>
      <c r="P525" s="44"/>
      <c r="Q525" s="75"/>
    </row>
    <row r="526" spans="1:17" ht="21" customHeight="1">
      <c r="A526" s="47">
        <v>5</v>
      </c>
      <c r="B526" s="182" t="s">
        <v>484</v>
      </c>
      <c r="C526" s="183"/>
      <c r="D526" s="184"/>
      <c r="E526" s="173">
        <v>346</v>
      </c>
      <c r="F526" s="175"/>
      <c r="G526" s="173">
        <v>12</v>
      </c>
      <c r="H526" s="175"/>
      <c r="I526" s="50">
        <f t="shared" si="5"/>
        <v>1215</v>
      </c>
      <c r="J526" s="50">
        <f>7380+7200</f>
        <v>14580</v>
      </c>
      <c r="K526" s="51"/>
      <c r="L526" s="51"/>
      <c r="M526" s="51"/>
      <c r="N526" s="51"/>
      <c r="O526" s="52"/>
      <c r="P526" s="44"/>
      <c r="Q526" s="75"/>
    </row>
    <row r="527" spans="1:17" ht="39.75" customHeight="1">
      <c r="A527" s="47">
        <v>6</v>
      </c>
      <c r="B527" s="182" t="s">
        <v>485</v>
      </c>
      <c r="C527" s="183"/>
      <c r="D527" s="184"/>
      <c r="E527" s="173">
        <v>346</v>
      </c>
      <c r="F527" s="175"/>
      <c r="G527" s="173">
        <v>2</v>
      </c>
      <c r="H527" s="175"/>
      <c r="I527" s="50">
        <f t="shared" si="5"/>
        <v>1800</v>
      </c>
      <c r="J527" s="50">
        <f>3600</f>
        <v>3600</v>
      </c>
      <c r="K527" s="51"/>
      <c r="L527" s="51"/>
      <c r="M527" s="51"/>
      <c r="N527" s="51"/>
      <c r="O527" s="52"/>
      <c r="P527" s="44"/>
      <c r="Q527" s="75"/>
    </row>
    <row r="528" spans="1:17" ht="39.75" customHeight="1">
      <c r="A528" s="47">
        <v>7</v>
      </c>
      <c r="B528" s="182" t="s">
        <v>494</v>
      </c>
      <c r="C528" s="183"/>
      <c r="D528" s="184"/>
      <c r="E528" s="173">
        <v>346</v>
      </c>
      <c r="F528" s="175"/>
      <c r="G528" s="173">
        <v>30</v>
      </c>
      <c r="H528" s="175"/>
      <c r="I528" s="50">
        <f>J528/G528</f>
        <v>111.77199999999999</v>
      </c>
      <c r="J528" s="50">
        <f>1280.74+2072.42</f>
        <v>3353.16</v>
      </c>
      <c r="K528" s="51"/>
      <c r="L528" s="51"/>
      <c r="M528" s="51"/>
      <c r="N528" s="51"/>
      <c r="O528" s="52"/>
      <c r="P528" s="44"/>
      <c r="Q528" s="75"/>
    </row>
    <row r="529" spans="1:17" ht="39.75" customHeight="1">
      <c r="A529" s="47">
        <v>8</v>
      </c>
      <c r="B529" s="182" t="s">
        <v>496</v>
      </c>
      <c r="C529" s="183"/>
      <c r="D529" s="184"/>
      <c r="E529" s="173">
        <v>346</v>
      </c>
      <c r="F529" s="175"/>
      <c r="G529" s="173">
        <v>8</v>
      </c>
      <c r="H529" s="175"/>
      <c r="I529" s="50">
        <f>J529/G529</f>
        <v>1500</v>
      </c>
      <c r="J529" s="50">
        <f>12000</f>
        <v>12000</v>
      </c>
      <c r="K529" s="51"/>
      <c r="L529" s="51"/>
      <c r="M529" s="51"/>
      <c r="N529" s="51"/>
      <c r="O529" s="52"/>
      <c r="P529" s="44"/>
      <c r="Q529" s="75"/>
    </row>
    <row r="530" spans="1:17" ht="39.75" customHeight="1">
      <c r="A530" s="47">
        <v>9</v>
      </c>
      <c r="B530" s="182" t="s">
        <v>505</v>
      </c>
      <c r="C530" s="183"/>
      <c r="D530" s="184"/>
      <c r="E530" s="173">
        <v>346</v>
      </c>
      <c r="F530" s="175"/>
      <c r="G530" s="173">
        <v>12</v>
      </c>
      <c r="H530" s="175"/>
      <c r="I530" s="50">
        <f>J530/G530</f>
        <v>1370</v>
      </c>
      <c r="J530" s="50">
        <f>16440</f>
        <v>16440</v>
      </c>
      <c r="K530" s="51"/>
      <c r="L530" s="51"/>
      <c r="M530" s="51"/>
      <c r="N530" s="51"/>
      <c r="O530" s="52"/>
      <c r="P530" s="44"/>
      <c r="Q530" s="75"/>
    </row>
    <row r="531" spans="1:17" ht="18.75">
      <c r="A531" s="47"/>
      <c r="B531" s="173" t="s">
        <v>130</v>
      </c>
      <c r="C531" s="174"/>
      <c r="D531" s="175"/>
      <c r="E531" s="176"/>
      <c r="F531" s="176"/>
      <c r="G531" s="176"/>
      <c r="H531" s="176"/>
      <c r="I531" s="47" t="s">
        <v>7</v>
      </c>
      <c r="J531" s="50">
        <f>SUM(J522:J530)</f>
        <v>346407.16</v>
      </c>
      <c r="K531" s="51"/>
      <c r="L531" s="51"/>
      <c r="M531" s="51"/>
      <c r="N531" s="51"/>
      <c r="O531" s="52"/>
      <c r="P531" s="44"/>
      <c r="Q531" s="75"/>
    </row>
    <row r="532" spans="1:17" ht="18.75">
      <c r="A532" s="54"/>
      <c r="B532" s="54"/>
      <c r="C532" s="53"/>
      <c r="D532" s="54"/>
      <c r="E532" s="54"/>
      <c r="F532" s="61"/>
      <c r="G532" s="51"/>
      <c r="H532" s="51"/>
      <c r="I532" s="51"/>
      <c r="J532" s="51"/>
      <c r="K532" s="51"/>
      <c r="L532" s="51"/>
      <c r="M532" s="51"/>
      <c r="N532" s="51"/>
      <c r="O532" s="52"/>
      <c r="P532" s="42"/>
      <c r="Q532" s="75"/>
    </row>
    <row r="533" spans="1:17" ht="18.75">
      <c r="A533" s="51"/>
      <c r="B533" s="51" t="s">
        <v>502</v>
      </c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2"/>
      <c r="P533" s="44"/>
      <c r="Q533" s="75"/>
    </row>
    <row r="534" spans="1:17" ht="18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2"/>
      <c r="P534" s="44"/>
      <c r="Q534" s="75"/>
    </row>
    <row r="535" spans="1:17" ht="56.25">
      <c r="A535" s="47" t="s">
        <v>151</v>
      </c>
      <c r="B535" s="208" t="s">
        <v>0</v>
      </c>
      <c r="C535" s="208"/>
      <c r="D535" s="208"/>
      <c r="E535" s="208" t="s">
        <v>164</v>
      </c>
      <c r="F535" s="208"/>
      <c r="G535" s="208" t="s">
        <v>363</v>
      </c>
      <c r="H535" s="208"/>
      <c r="I535" s="59" t="s">
        <v>187</v>
      </c>
      <c r="J535" s="59" t="s">
        <v>216</v>
      </c>
      <c r="K535" s="51"/>
      <c r="L535" s="51"/>
      <c r="M535" s="51"/>
      <c r="N535" s="51"/>
      <c r="O535" s="52"/>
      <c r="P535" s="44"/>
      <c r="Q535" s="75"/>
    </row>
    <row r="536" spans="1:17" ht="18.75">
      <c r="A536" s="148">
        <v>1</v>
      </c>
      <c r="B536" s="176">
        <v>2</v>
      </c>
      <c r="C536" s="176"/>
      <c r="D536" s="176"/>
      <c r="E536" s="176">
        <v>3</v>
      </c>
      <c r="F536" s="176"/>
      <c r="G536" s="176">
        <v>4</v>
      </c>
      <c r="H536" s="176"/>
      <c r="I536" s="148">
        <v>5</v>
      </c>
      <c r="J536" s="148">
        <v>6</v>
      </c>
      <c r="K536" s="157"/>
      <c r="L536" s="51"/>
      <c r="M536" s="51"/>
      <c r="N536" s="51"/>
      <c r="O536" s="52"/>
      <c r="P536" s="44"/>
      <c r="Q536" s="75"/>
    </row>
    <row r="537" spans="1:17" ht="18.75">
      <c r="A537" s="47">
        <v>1</v>
      </c>
      <c r="B537" s="182" t="s">
        <v>481</v>
      </c>
      <c r="C537" s="183"/>
      <c r="D537" s="184"/>
      <c r="E537" s="173">
        <v>346</v>
      </c>
      <c r="F537" s="175"/>
      <c r="G537" s="173">
        <v>100</v>
      </c>
      <c r="H537" s="175"/>
      <c r="I537" s="50">
        <f>J537/G537</f>
        <v>220.4589</v>
      </c>
      <c r="J537" s="50">
        <f>51725.89-29680</f>
        <v>22045.89</v>
      </c>
      <c r="K537" s="51"/>
      <c r="L537" s="51"/>
      <c r="M537" s="51"/>
      <c r="N537" s="51"/>
      <c r="O537" s="52"/>
      <c r="P537" s="44"/>
      <c r="Q537" s="75"/>
    </row>
    <row r="538" spans="1:17" ht="18.75">
      <c r="A538" s="47">
        <v>2</v>
      </c>
      <c r="B538" s="182" t="s">
        <v>490</v>
      </c>
      <c r="C538" s="183"/>
      <c r="D538" s="184"/>
      <c r="E538" s="173">
        <v>346</v>
      </c>
      <c r="F538" s="175"/>
      <c r="G538" s="173">
        <v>10</v>
      </c>
      <c r="H538" s="175"/>
      <c r="I538" s="50">
        <f>J538/G538</f>
        <v>5508</v>
      </c>
      <c r="J538" s="50">
        <f>55080</f>
        <v>55080</v>
      </c>
      <c r="K538" s="51"/>
      <c r="L538" s="51"/>
      <c r="M538" s="51"/>
      <c r="N538" s="51"/>
      <c r="O538" s="52"/>
      <c r="P538" s="44"/>
      <c r="Q538" s="75"/>
    </row>
    <row r="539" spans="1:17" ht="18.75">
      <c r="A539" s="47">
        <v>3</v>
      </c>
      <c r="B539" s="182" t="s">
        <v>503</v>
      </c>
      <c r="C539" s="183"/>
      <c r="D539" s="184"/>
      <c r="E539" s="173">
        <v>346</v>
      </c>
      <c r="F539" s="175"/>
      <c r="G539" s="173">
        <v>10</v>
      </c>
      <c r="H539" s="175"/>
      <c r="I539" s="50">
        <f>J539/G539</f>
        <v>4965.1</v>
      </c>
      <c r="J539" s="50">
        <v>49651</v>
      </c>
      <c r="K539" s="51"/>
      <c r="L539" s="51"/>
      <c r="M539" s="51"/>
      <c r="N539" s="51"/>
      <c r="O539" s="52"/>
      <c r="P539" s="44"/>
      <c r="Q539" s="75"/>
    </row>
    <row r="540" spans="1:17" ht="18.75">
      <c r="A540" s="47"/>
      <c r="B540" s="173" t="s">
        <v>130</v>
      </c>
      <c r="C540" s="174"/>
      <c r="D540" s="175"/>
      <c r="E540" s="176"/>
      <c r="F540" s="176"/>
      <c r="G540" s="176"/>
      <c r="H540" s="176"/>
      <c r="I540" s="47" t="s">
        <v>7</v>
      </c>
      <c r="J540" s="50">
        <f>SUM(J537:J539)</f>
        <v>126776.89</v>
      </c>
      <c r="K540" s="51"/>
      <c r="L540" s="51"/>
      <c r="M540" s="51"/>
      <c r="N540" s="51"/>
      <c r="O540" s="52"/>
      <c r="P540" s="44"/>
      <c r="Q540" s="75"/>
    </row>
    <row r="541" spans="1:17" ht="18.75">
      <c r="A541" s="54"/>
      <c r="B541" s="54"/>
      <c r="C541" s="53"/>
      <c r="D541" s="54"/>
      <c r="E541" s="54"/>
      <c r="F541" s="61"/>
      <c r="G541" s="51"/>
      <c r="H541" s="51"/>
      <c r="I541" s="51"/>
      <c r="J541" s="51"/>
      <c r="K541" s="51"/>
      <c r="L541" s="51"/>
      <c r="M541" s="51"/>
      <c r="N541" s="51"/>
      <c r="O541" s="52"/>
      <c r="P541" s="42"/>
      <c r="Q541" s="75"/>
    </row>
    <row r="542" spans="1:17" ht="18.75">
      <c r="A542" s="54"/>
      <c r="B542" s="54"/>
      <c r="C542" s="53"/>
      <c r="D542" s="54"/>
      <c r="E542" s="54"/>
      <c r="F542" s="61"/>
      <c r="G542" s="51"/>
      <c r="H542" s="51"/>
      <c r="I542" s="51"/>
      <c r="J542" s="51"/>
      <c r="K542" s="51"/>
      <c r="L542" s="51"/>
      <c r="M542" s="51"/>
      <c r="N542" s="51"/>
      <c r="O542" s="52"/>
      <c r="P542" s="42"/>
      <c r="Q542" s="75"/>
    </row>
    <row r="543" spans="1:17" ht="18.75">
      <c r="A543" s="51"/>
      <c r="B543" s="51" t="s">
        <v>342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2"/>
      <c r="P543" s="42"/>
      <c r="Q543" s="75"/>
    </row>
    <row r="544" spans="1:17" ht="18.75">
      <c r="A544" s="34"/>
      <c r="B544" s="51" t="s">
        <v>148</v>
      </c>
      <c r="C544" s="81"/>
      <c r="D544" s="110">
        <v>100</v>
      </c>
      <c r="E544" s="110"/>
      <c r="F544" s="110"/>
      <c r="G544" s="110"/>
      <c r="H544" s="54"/>
      <c r="I544" s="51"/>
      <c r="J544" s="51"/>
      <c r="K544" s="51"/>
      <c r="L544" s="51"/>
      <c r="M544" s="51"/>
      <c r="N544" s="51"/>
      <c r="O544" s="52"/>
      <c r="P544" s="42"/>
      <c r="Q544" s="75"/>
    </row>
    <row r="545" spans="1:17" ht="18.75">
      <c r="A545" s="34"/>
      <c r="B545" s="51" t="s">
        <v>149</v>
      </c>
      <c r="C545" s="51"/>
      <c r="D545" s="112" t="s">
        <v>261</v>
      </c>
      <c r="E545" s="112"/>
      <c r="F545" s="112"/>
      <c r="G545" s="54"/>
      <c r="H545" s="51"/>
      <c r="I545" s="51"/>
      <c r="J545" s="54"/>
      <c r="K545" s="51"/>
      <c r="L545" s="51"/>
      <c r="M545" s="51"/>
      <c r="N545" s="51"/>
      <c r="O545" s="52"/>
      <c r="P545" s="42"/>
      <c r="Q545" s="75"/>
    </row>
    <row r="546" spans="1:17" ht="18.75">
      <c r="A546" s="51"/>
      <c r="B546" s="51"/>
      <c r="C546" s="51"/>
      <c r="D546" s="54"/>
      <c r="E546" s="54"/>
      <c r="F546" s="54"/>
      <c r="G546" s="54"/>
      <c r="H546" s="54"/>
      <c r="I546" s="51"/>
      <c r="J546" s="51"/>
      <c r="K546" s="51"/>
      <c r="L546" s="51"/>
      <c r="M546" s="51"/>
      <c r="N546" s="51"/>
      <c r="O546" s="52"/>
      <c r="P546" s="42"/>
      <c r="Q546" s="75"/>
    </row>
    <row r="547" spans="1:17" ht="18.75">
      <c r="A547" s="51"/>
      <c r="B547" s="51" t="s">
        <v>409</v>
      </c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2"/>
      <c r="P547" s="42"/>
      <c r="Q547" s="75"/>
    </row>
    <row r="548" spans="1:17" ht="18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2"/>
      <c r="P548" s="42"/>
      <c r="Q548" s="75"/>
    </row>
    <row r="549" spans="1:17" ht="52.5" customHeight="1">
      <c r="A549" s="47" t="s">
        <v>151</v>
      </c>
      <c r="B549" s="192" t="s">
        <v>152</v>
      </c>
      <c r="C549" s="193"/>
      <c r="D549" s="193"/>
      <c r="E549" s="194"/>
      <c r="F549" s="208" t="s">
        <v>153</v>
      </c>
      <c r="G549" s="208"/>
      <c r="H549" s="59" t="s">
        <v>154</v>
      </c>
      <c r="I549" s="59" t="s">
        <v>155</v>
      </c>
      <c r="J549" s="208" t="s">
        <v>156</v>
      </c>
      <c r="K549" s="208"/>
      <c r="L549" s="51"/>
      <c r="M549" s="51"/>
      <c r="N549" s="51"/>
      <c r="O549" s="125"/>
      <c r="P549" s="48"/>
      <c r="Q549" s="75"/>
    </row>
    <row r="550" spans="1:18" ht="20.25" customHeight="1">
      <c r="A550" s="148">
        <v>1</v>
      </c>
      <c r="B550" s="201">
        <v>2</v>
      </c>
      <c r="C550" s="211"/>
      <c r="D550" s="211"/>
      <c r="E550" s="202"/>
      <c r="F550" s="201">
        <v>3</v>
      </c>
      <c r="G550" s="202"/>
      <c r="H550" s="152">
        <v>4</v>
      </c>
      <c r="I550" s="94">
        <v>5</v>
      </c>
      <c r="J550" s="201">
        <v>6</v>
      </c>
      <c r="K550" s="202"/>
      <c r="L550" s="51"/>
      <c r="M550" s="51"/>
      <c r="N550" s="51"/>
      <c r="O550" s="125"/>
      <c r="P550" s="48"/>
      <c r="Q550" s="75"/>
      <c r="R550" s="77"/>
    </row>
    <row r="551" spans="1:18" ht="42.75" customHeight="1">
      <c r="A551" s="148">
        <v>1</v>
      </c>
      <c r="B551" s="182" t="s">
        <v>444</v>
      </c>
      <c r="C551" s="183"/>
      <c r="D551" s="183"/>
      <c r="E551" s="184"/>
      <c r="F551" s="176">
        <v>211</v>
      </c>
      <c r="G551" s="176"/>
      <c r="H551" s="50">
        <f>J551/I551</f>
        <v>1363.06</v>
      </c>
      <c r="I551" s="117">
        <v>12</v>
      </c>
      <c r="J551" s="197">
        <v>16356.72</v>
      </c>
      <c r="K551" s="197"/>
      <c r="L551" s="51"/>
      <c r="M551" s="103"/>
      <c r="N551" s="51"/>
      <c r="O551" s="52"/>
      <c r="P551" s="42"/>
      <c r="Q551" s="75"/>
      <c r="R551" s="8"/>
    </row>
    <row r="552" spans="1:18" ht="22.5" customHeight="1">
      <c r="A552" s="148">
        <v>2</v>
      </c>
      <c r="B552" s="182" t="s">
        <v>468</v>
      </c>
      <c r="C552" s="183"/>
      <c r="D552" s="183"/>
      <c r="E552" s="184"/>
      <c r="F552" s="176">
        <v>211</v>
      </c>
      <c r="G552" s="176"/>
      <c r="H552" s="50">
        <f>J552/I552</f>
        <v>3200.205</v>
      </c>
      <c r="I552" s="117">
        <v>12</v>
      </c>
      <c r="J552" s="197">
        <f>38402.46</f>
        <v>38402.46</v>
      </c>
      <c r="K552" s="197"/>
      <c r="L552" s="51"/>
      <c r="M552" s="103"/>
      <c r="N552" s="51"/>
      <c r="O552" s="52"/>
      <c r="P552" s="42"/>
      <c r="Q552" s="75"/>
      <c r="R552" s="8"/>
    </row>
    <row r="553" spans="1:18" ht="18.75">
      <c r="A553" s="47"/>
      <c r="B553" s="173" t="s">
        <v>130</v>
      </c>
      <c r="C553" s="174"/>
      <c r="D553" s="174"/>
      <c r="E553" s="175"/>
      <c r="F553" s="210"/>
      <c r="G553" s="210"/>
      <c r="H553" s="96" t="s">
        <v>158</v>
      </c>
      <c r="I553" s="97"/>
      <c r="J553" s="197">
        <f>SUM(J551:K552)</f>
        <v>54759.18</v>
      </c>
      <c r="K553" s="197"/>
      <c r="L553" s="51"/>
      <c r="M553" s="51"/>
      <c r="N553" s="51"/>
      <c r="O553" s="52"/>
      <c r="P553" s="44"/>
      <c r="Q553" s="75"/>
      <c r="R553" s="8"/>
    </row>
    <row r="554" spans="1:18" ht="18.75">
      <c r="A554" s="54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2"/>
      <c r="P554" s="42"/>
      <c r="Q554" s="75"/>
      <c r="R554" s="8"/>
    </row>
    <row r="555" spans="1:18" ht="18.75">
      <c r="A555" s="54"/>
      <c r="B555" s="51" t="s">
        <v>410</v>
      </c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2"/>
      <c r="P555" s="42"/>
      <c r="Q555" s="75"/>
      <c r="R555" s="8"/>
    </row>
    <row r="556" spans="1:18" ht="18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2"/>
      <c r="P556" s="42"/>
      <c r="Q556" s="75"/>
      <c r="R556" s="8"/>
    </row>
    <row r="557" spans="1:18" s="142" customFormat="1" ht="93.75">
      <c r="A557" s="158" t="s">
        <v>151</v>
      </c>
      <c r="B557" s="209" t="s">
        <v>163</v>
      </c>
      <c r="C557" s="209"/>
      <c r="D557" s="209"/>
      <c r="E557" s="209"/>
      <c r="F557" s="187" t="s">
        <v>164</v>
      </c>
      <c r="G557" s="187"/>
      <c r="H557" s="151" t="s">
        <v>165</v>
      </c>
      <c r="I557" s="187" t="s">
        <v>166</v>
      </c>
      <c r="J557" s="187"/>
      <c r="K557" s="92"/>
      <c r="L557" s="92"/>
      <c r="M557" s="92"/>
      <c r="N557" s="92"/>
      <c r="O557" s="93"/>
      <c r="P557" s="138"/>
      <c r="Q557" s="141"/>
      <c r="R557" s="144"/>
    </row>
    <row r="558" spans="1:17" ht="18.75">
      <c r="A558" s="148">
        <v>1</v>
      </c>
      <c r="B558" s="176">
        <v>2</v>
      </c>
      <c r="C558" s="176"/>
      <c r="D558" s="176"/>
      <c r="E558" s="176"/>
      <c r="F558" s="176">
        <v>3</v>
      </c>
      <c r="G558" s="176"/>
      <c r="H558" s="148">
        <v>4</v>
      </c>
      <c r="I558" s="176">
        <v>5</v>
      </c>
      <c r="J558" s="176"/>
      <c r="K558" s="51"/>
      <c r="L558" s="51"/>
      <c r="M558" s="51"/>
      <c r="N558" s="51"/>
      <c r="O558" s="52"/>
      <c r="P558" s="42"/>
      <c r="Q558" s="75"/>
    </row>
    <row r="559" spans="1:18" ht="18.75" customHeight="1">
      <c r="A559" s="47">
        <v>1</v>
      </c>
      <c r="B559" s="167" t="s">
        <v>445</v>
      </c>
      <c r="C559" s="168"/>
      <c r="D559" s="168"/>
      <c r="E559" s="169"/>
      <c r="F559" s="176">
        <v>213</v>
      </c>
      <c r="G559" s="176"/>
      <c r="H559" s="98">
        <v>30.2</v>
      </c>
      <c r="I559" s="197">
        <v>4939.57</v>
      </c>
      <c r="J559" s="197"/>
      <c r="K559" s="51"/>
      <c r="L559" s="103"/>
      <c r="M559" s="51"/>
      <c r="N559" s="51"/>
      <c r="O559" s="52"/>
      <c r="P559" s="42"/>
      <c r="Q559" s="75"/>
      <c r="R559" s="77"/>
    </row>
    <row r="560" spans="1:17" ht="18.75" customHeight="1">
      <c r="A560" s="47">
        <v>2</v>
      </c>
      <c r="B560" s="167" t="s">
        <v>167</v>
      </c>
      <c r="C560" s="168"/>
      <c r="D560" s="168"/>
      <c r="E560" s="169"/>
      <c r="F560" s="176">
        <v>213</v>
      </c>
      <c r="G560" s="176"/>
      <c r="H560" s="98">
        <v>30.2</v>
      </c>
      <c r="I560" s="197">
        <f>11597.54</f>
        <v>11597.54</v>
      </c>
      <c r="J560" s="197"/>
      <c r="K560" s="51"/>
      <c r="L560" s="103"/>
      <c r="M560" s="51"/>
      <c r="N560" s="51"/>
      <c r="O560" s="52"/>
      <c r="P560" s="42"/>
      <c r="Q560" s="75"/>
    </row>
    <row r="561" spans="1:17" ht="18.75">
      <c r="A561" s="47"/>
      <c r="B561" s="176" t="s">
        <v>130</v>
      </c>
      <c r="C561" s="176"/>
      <c r="D561" s="176"/>
      <c r="E561" s="176"/>
      <c r="F561" s="176"/>
      <c r="G561" s="176"/>
      <c r="H561" s="47" t="s">
        <v>168</v>
      </c>
      <c r="I561" s="197">
        <f>SUM(I559:J560)</f>
        <v>16537.11</v>
      </c>
      <c r="J561" s="197"/>
      <c r="K561" s="51"/>
      <c r="L561" s="51"/>
      <c r="M561" s="51"/>
      <c r="N561" s="51"/>
      <c r="O561" s="52"/>
      <c r="P561" s="44"/>
      <c r="Q561" s="75"/>
    </row>
    <row r="562" spans="1:17" ht="18.75">
      <c r="A562" s="51"/>
      <c r="B562" s="51"/>
      <c r="C562" s="54"/>
      <c r="D562" s="54"/>
      <c r="E562" s="54"/>
      <c r="F562" s="54"/>
      <c r="G562" s="51"/>
      <c r="H562" s="51"/>
      <c r="I562" s="51"/>
      <c r="J562" s="51"/>
      <c r="K562" s="51"/>
      <c r="L562" s="51"/>
      <c r="M562" s="51"/>
      <c r="N562" s="51"/>
      <c r="O562" s="52"/>
      <c r="P562" s="42"/>
      <c r="Q562" s="75"/>
    </row>
    <row r="563" spans="1:17" ht="18.75" hidden="1">
      <c r="A563" s="51"/>
      <c r="B563" s="51" t="s">
        <v>217</v>
      </c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2"/>
      <c r="P563" s="42"/>
      <c r="Q563" s="75"/>
    </row>
    <row r="564" spans="1:17" ht="18.75" hidden="1">
      <c r="A564" s="34"/>
      <c r="B564" s="51" t="s">
        <v>176</v>
      </c>
      <c r="C564" s="51"/>
      <c r="D564" s="110">
        <v>244</v>
      </c>
      <c r="E564" s="110"/>
      <c r="F564" s="110"/>
      <c r="G564" s="54"/>
      <c r="H564" s="51"/>
      <c r="I564" s="51"/>
      <c r="J564" s="51"/>
      <c r="K564" s="51"/>
      <c r="L564" s="51"/>
      <c r="M564" s="51"/>
      <c r="N564" s="51"/>
      <c r="O564" s="52"/>
      <c r="P564" s="42"/>
      <c r="Q564" s="75"/>
    </row>
    <row r="565" spans="1:17" ht="18.75" hidden="1">
      <c r="A565" s="34"/>
      <c r="B565" s="51" t="s">
        <v>149</v>
      </c>
      <c r="C565" s="51"/>
      <c r="D565" s="112" t="s">
        <v>150</v>
      </c>
      <c r="E565" s="112"/>
      <c r="F565" s="112"/>
      <c r="G565" s="54"/>
      <c r="H565" s="51"/>
      <c r="I565" s="51"/>
      <c r="J565" s="51"/>
      <c r="K565" s="51"/>
      <c r="L565" s="51"/>
      <c r="M565" s="51"/>
      <c r="N565" s="51"/>
      <c r="O565" s="52"/>
      <c r="P565" s="42"/>
      <c r="Q565" s="75"/>
    </row>
    <row r="566" spans="1:17" ht="18.75" hidden="1">
      <c r="A566" s="51"/>
      <c r="B566" s="51"/>
      <c r="C566" s="54"/>
      <c r="D566" s="54"/>
      <c r="E566" s="54"/>
      <c r="F566" s="54"/>
      <c r="G566" s="51"/>
      <c r="H566" s="51"/>
      <c r="I566" s="51"/>
      <c r="J566" s="51"/>
      <c r="K566" s="51"/>
      <c r="L566" s="51"/>
      <c r="M566" s="51"/>
      <c r="N566" s="51"/>
      <c r="O566" s="52"/>
      <c r="P566" s="42"/>
      <c r="Q566" s="75"/>
    </row>
    <row r="567" spans="1:17" ht="18.75" hidden="1">
      <c r="A567" s="51"/>
      <c r="B567" s="51" t="s">
        <v>242</v>
      </c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2"/>
      <c r="P567" s="42"/>
      <c r="Q567" s="75"/>
    </row>
    <row r="568" spans="1:17" ht="18.75" hidden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2"/>
      <c r="P568" s="42"/>
      <c r="Q568" s="75"/>
    </row>
    <row r="569" spans="1:17" ht="56.25" customHeight="1" hidden="1">
      <c r="A569" s="47" t="s">
        <v>151</v>
      </c>
      <c r="B569" s="201" t="s">
        <v>0</v>
      </c>
      <c r="C569" s="211"/>
      <c r="D569" s="202"/>
      <c r="E569" s="201" t="s">
        <v>164</v>
      </c>
      <c r="F569" s="202"/>
      <c r="G569" s="201" t="s">
        <v>186</v>
      </c>
      <c r="H569" s="202"/>
      <c r="I569" s="59" t="s">
        <v>187</v>
      </c>
      <c r="J569" s="59" t="s">
        <v>188</v>
      </c>
      <c r="K569" s="51"/>
      <c r="L569" s="51"/>
      <c r="M569" s="51"/>
      <c r="N569" s="51"/>
      <c r="O569" s="52"/>
      <c r="P569" s="58"/>
      <c r="Q569" s="75"/>
    </row>
    <row r="570" spans="1:17" ht="18.75" hidden="1">
      <c r="A570" s="148">
        <v>1</v>
      </c>
      <c r="B570" s="173">
        <v>2</v>
      </c>
      <c r="C570" s="174"/>
      <c r="D570" s="175"/>
      <c r="E570" s="173">
        <v>3</v>
      </c>
      <c r="F570" s="175"/>
      <c r="G570" s="173">
        <v>4</v>
      </c>
      <c r="H570" s="175"/>
      <c r="I570" s="148">
        <v>5</v>
      </c>
      <c r="J570" s="148">
        <v>6</v>
      </c>
      <c r="K570" s="157"/>
      <c r="L570" s="157"/>
      <c r="M570" s="157"/>
      <c r="N570" s="157"/>
      <c r="O570" s="60"/>
      <c r="P570" s="43"/>
      <c r="Q570" s="75"/>
    </row>
    <row r="571" spans="1:17" ht="93.75" customHeight="1" hidden="1">
      <c r="A571" s="47">
        <v>1</v>
      </c>
      <c r="B571" s="182"/>
      <c r="C571" s="183"/>
      <c r="D571" s="184"/>
      <c r="E571" s="173">
        <v>310</v>
      </c>
      <c r="F571" s="175"/>
      <c r="G571" s="185"/>
      <c r="H571" s="186"/>
      <c r="I571" s="50"/>
      <c r="J571" s="50"/>
      <c r="K571" s="51"/>
      <c r="L571" s="51"/>
      <c r="M571" s="51"/>
      <c r="N571" s="51"/>
      <c r="O571" s="52"/>
      <c r="P571" s="42"/>
      <c r="Q571" s="75"/>
    </row>
    <row r="572" spans="1:17" ht="18.75" customHeight="1" hidden="1">
      <c r="A572" s="47"/>
      <c r="B572" s="198" t="s">
        <v>130</v>
      </c>
      <c r="C572" s="199"/>
      <c r="D572" s="200"/>
      <c r="E572" s="173"/>
      <c r="F572" s="175"/>
      <c r="G572" s="173"/>
      <c r="H572" s="175"/>
      <c r="I572" s="47" t="s">
        <v>7</v>
      </c>
      <c r="J572" s="149">
        <f>SUM(J571:J571)</f>
        <v>0</v>
      </c>
      <c r="K572" s="51"/>
      <c r="L572" s="51"/>
      <c r="M572" s="51"/>
      <c r="N572" s="51"/>
      <c r="O572" s="52"/>
      <c r="P572" s="49"/>
      <c r="Q572" s="75"/>
    </row>
    <row r="573" spans="1:17" ht="18.75" hidden="1">
      <c r="A573" s="54"/>
      <c r="B573" s="54"/>
      <c r="C573" s="54"/>
      <c r="D573" s="54"/>
      <c r="E573" s="54"/>
      <c r="F573" s="116"/>
      <c r="G573" s="51"/>
      <c r="H573" s="51"/>
      <c r="I573" s="51"/>
      <c r="J573" s="51"/>
      <c r="K573" s="51"/>
      <c r="L573" s="51"/>
      <c r="M573" s="51"/>
      <c r="N573" s="51"/>
      <c r="O573" s="52"/>
      <c r="P573" s="45"/>
      <c r="Q573" s="75"/>
    </row>
    <row r="574" spans="1:17" ht="18.75" hidden="1">
      <c r="A574" s="51"/>
      <c r="B574" s="55" t="s">
        <v>243</v>
      </c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1"/>
      <c r="O574" s="52"/>
      <c r="P574" s="42"/>
      <c r="Q574" s="75"/>
    </row>
    <row r="575" spans="1:17" ht="18.75" hidden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1"/>
      <c r="O575" s="52"/>
      <c r="P575" s="42"/>
      <c r="Q575" s="75"/>
    </row>
    <row r="576" spans="1:17" ht="56.25" customHeight="1" hidden="1">
      <c r="A576" s="47" t="s">
        <v>151</v>
      </c>
      <c r="B576" s="201" t="s">
        <v>0</v>
      </c>
      <c r="C576" s="211"/>
      <c r="D576" s="202"/>
      <c r="E576" s="201" t="s">
        <v>164</v>
      </c>
      <c r="F576" s="202"/>
      <c r="G576" s="201" t="s">
        <v>186</v>
      </c>
      <c r="H576" s="202"/>
      <c r="I576" s="59" t="s">
        <v>187</v>
      </c>
      <c r="J576" s="201" t="s">
        <v>188</v>
      </c>
      <c r="K576" s="202"/>
      <c r="L576" s="51"/>
      <c r="M576" s="51"/>
      <c r="N576" s="51"/>
      <c r="O576" s="52"/>
      <c r="P576" s="42"/>
      <c r="Q576" s="75"/>
    </row>
    <row r="577" spans="1:17" ht="18.75" hidden="1">
      <c r="A577" s="148">
        <v>1</v>
      </c>
      <c r="B577" s="173">
        <v>2</v>
      </c>
      <c r="C577" s="174"/>
      <c r="D577" s="175"/>
      <c r="E577" s="173">
        <v>3</v>
      </c>
      <c r="F577" s="175"/>
      <c r="G577" s="173">
        <v>4</v>
      </c>
      <c r="H577" s="175"/>
      <c r="I577" s="148">
        <v>5</v>
      </c>
      <c r="J577" s="173">
        <v>6</v>
      </c>
      <c r="K577" s="175"/>
      <c r="L577" s="157"/>
      <c r="M577" s="157"/>
      <c r="N577" s="157"/>
      <c r="O577" s="60"/>
      <c r="P577" s="43"/>
      <c r="Q577" s="75"/>
    </row>
    <row r="578" spans="1:17" ht="18.75" customHeight="1" hidden="1">
      <c r="A578" s="47">
        <v>1</v>
      </c>
      <c r="B578" s="201" t="s">
        <v>208</v>
      </c>
      <c r="C578" s="211"/>
      <c r="D578" s="202"/>
      <c r="E578" s="173">
        <v>342</v>
      </c>
      <c r="F578" s="175"/>
      <c r="G578" s="173"/>
      <c r="H578" s="175"/>
      <c r="I578" s="50" t="e">
        <f>ROUND(J578/G578,2)</f>
        <v>#DIV/0!</v>
      </c>
      <c r="J578" s="190"/>
      <c r="K578" s="191"/>
      <c r="L578" s="51"/>
      <c r="M578" s="51"/>
      <c r="N578" s="51"/>
      <c r="O578" s="52"/>
      <c r="P578" s="42"/>
      <c r="Q578" s="75"/>
    </row>
    <row r="579" spans="1:17" ht="18.75" hidden="1">
      <c r="A579" s="47"/>
      <c r="B579" s="173" t="s">
        <v>130</v>
      </c>
      <c r="C579" s="174"/>
      <c r="D579" s="175"/>
      <c r="E579" s="173"/>
      <c r="F579" s="175"/>
      <c r="G579" s="173"/>
      <c r="H579" s="175"/>
      <c r="I579" s="47" t="s">
        <v>7</v>
      </c>
      <c r="J579" s="190">
        <f>SUM(J578:J578)</f>
        <v>0</v>
      </c>
      <c r="K579" s="191"/>
      <c r="L579" s="51"/>
      <c r="M579" s="51"/>
      <c r="N579" s="51"/>
      <c r="O579" s="52"/>
      <c r="P579" s="44"/>
      <c r="Q579" s="75"/>
    </row>
    <row r="580" spans="1:17" ht="18.75" hidden="1">
      <c r="A580" s="54"/>
      <c r="B580" s="54"/>
      <c r="C580" s="54"/>
      <c r="D580" s="54"/>
      <c r="E580" s="54"/>
      <c r="F580" s="61"/>
      <c r="G580" s="51"/>
      <c r="H580" s="51"/>
      <c r="I580" s="51"/>
      <c r="J580" s="51"/>
      <c r="K580" s="51"/>
      <c r="L580" s="51"/>
      <c r="M580" s="51"/>
      <c r="N580" s="51"/>
      <c r="O580" s="52"/>
      <c r="P580" s="42"/>
      <c r="Q580" s="75"/>
    </row>
    <row r="581" spans="1:17" ht="18.75" hidden="1">
      <c r="A581" s="51"/>
      <c r="B581" s="55" t="s">
        <v>244</v>
      </c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1"/>
      <c r="O581" s="52"/>
      <c r="P581" s="42"/>
      <c r="Q581" s="75"/>
    </row>
    <row r="582" spans="1:17" ht="18.75" hidden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1"/>
      <c r="O582" s="52"/>
      <c r="P582" s="42"/>
      <c r="Q582" s="75"/>
    </row>
    <row r="583" spans="1:17" ht="56.25" hidden="1">
      <c r="A583" s="47" t="s">
        <v>151</v>
      </c>
      <c r="B583" s="208" t="s">
        <v>0</v>
      </c>
      <c r="C583" s="208"/>
      <c r="D583" s="208"/>
      <c r="E583" s="208" t="s">
        <v>164</v>
      </c>
      <c r="F583" s="208"/>
      <c r="G583" s="208" t="s">
        <v>186</v>
      </c>
      <c r="H583" s="208"/>
      <c r="I583" s="59" t="s">
        <v>187</v>
      </c>
      <c r="J583" s="59" t="s">
        <v>188</v>
      </c>
      <c r="K583" s="51"/>
      <c r="L583" s="51"/>
      <c r="M583" s="51"/>
      <c r="N583" s="51"/>
      <c r="O583" s="52"/>
      <c r="P583" s="42"/>
      <c r="Q583" s="75"/>
    </row>
    <row r="584" spans="1:17" ht="18.75" hidden="1">
      <c r="A584" s="148">
        <v>1</v>
      </c>
      <c r="B584" s="173">
        <v>2</v>
      </c>
      <c r="C584" s="174"/>
      <c r="D584" s="175"/>
      <c r="E584" s="176">
        <v>3</v>
      </c>
      <c r="F584" s="176"/>
      <c r="G584" s="176">
        <v>4</v>
      </c>
      <c r="H584" s="176"/>
      <c r="I584" s="148">
        <v>5</v>
      </c>
      <c r="J584" s="148">
        <v>6</v>
      </c>
      <c r="K584" s="157"/>
      <c r="L584" s="157"/>
      <c r="M584" s="157"/>
      <c r="N584" s="157"/>
      <c r="O584" s="60"/>
      <c r="P584" s="43"/>
      <c r="Q584" s="75"/>
    </row>
    <row r="585" spans="1:17" ht="18.75" hidden="1">
      <c r="A585" s="47">
        <v>1</v>
      </c>
      <c r="B585" s="182" t="s">
        <v>218</v>
      </c>
      <c r="C585" s="183"/>
      <c r="D585" s="184"/>
      <c r="E585" s="176">
        <v>345</v>
      </c>
      <c r="F585" s="176"/>
      <c r="G585" s="176">
        <v>1</v>
      </c>
      <c r="H585" s="176"/>
      <c r="I585" s="50">
        <f>ROUND(J585/G585,2)</f>
        <v>0</v>
      </c>
      <c r="J585" s="50"/>
      <c r="K585" s="51"/>
      <c r="L585" s="51"/>
      <c r="M585" s="51"/>
      <c r="N585" s="51"/>
      <c r="O585" s="52"/>
      <c r="P585" s="42"/>
      <c r="Q585" s="75"/>
    </row>
    <row r="586" spans="1:17" ht="18.75" hidden="1">
      <c r="A586" s="47"/>
      <c r="B586" s="198" t="s">
        <v>130</v>
      </c>
      <c r="C586" s="199"/>
      <c r="D586" s="200"/>
      <c r="E586" s="176"/>
      <c r="F586" s="176"/>
      <c r="G586" s="176"/>
      <c r="H586" s="176"/>
      <c r="I586" s="47" t="s">
        <v>7</v>
      </c>
      <c r="J586" s="50">
        <f>SUM(J585:J585)</f>
        <v>0</v>
      </c>
      <c r="K586" s="51"/>
      <c r="L586" s="51"/>
      <c r="M586" s="51"/>
      <c r="N586" s="51"/>
      <c r="O586" s="52"/>
      <c r="P586" s="44"/>
      <c r="Q586" s="75"/>
    </row>
    <row r="587" spans="1:17" ht="18.75" hidden="1">
      <c r="A587" s="54"/>
      <c r="B587" s="54"/>
      <c r="C587" s="54"/>
      <c r="D587" s="54"/>
      <c r="E587" s="54"/>
      <c r="F587" s="61"/>
      <c r="G587" s="51"/>
      <c r="H587" s="51"/>
      <c r="I587" s="51"/>
      <c r="J587" s="51"/>
      <c r="K587" s="51"/>
      <c r="L587" s="51"/>
      <c r="M587" s="51"/>
      <c r="N587" s="51"/>
      <c r="O587" s="52"/>
      <c r="P587" s="42"/>
      <c r="Q587" s="75"/>
    </row>
    <row r="588" spans="1:17" ht="22.5" customHeight="1">
      <c r="A588" s="51"/>
      <c r="B588" s="51" t="s">
        <v>438</v>
      </c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2"/>
      <c r="P588" s="42"/>
      <c r="Q588" s="75"/>
    </row>
    <row r="589" spans="1:17" ht="18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2"/>
      <c r="P589" s="42"/>
      <c r="Q589" s="75"/>
    </row>
    <row r="590" spans="1:17" s="142" customFormat="1" ht="63.75" customHeight="1">
      <c r="A590" s="158" t="s">
        <v>151</v>
      </c>
      <c r="B590" s="192" t="s">
        <v>152</v>
      </c>
      <c r="C590" s="193"/>
      <c r="D590" s="193"/>
      <c r="E590" s="194"/>
      <c r="F590" s="187" t="s">
        <v>153</v>
      </c>
      <c r="G590" s="187"/>
      <c r="H590" s="151" t="s">
        <v>154</v>
      </c>
      <c r="I590" s="151" t="s">
        <v>155</v>
      </c>
      <c r="J590" s="187" t="s">
        <v>156</v>
      </c>
      <c r="K590" s="187"/>
      <c r="L590" s="92"/>
      <c r="M590" s="92"/>
      <c r="N590" s="92"/>
      <c r="O590" s="139"/>
      <c r="P590" s="140"/>
      <c r="Q590" s="141"/>
    </row>
    <row r="591" spans="1:17" ht="18.75">
      <c r="A591" s="148">
        <v>1</v>
      </c>
      <c r="B591" s="201">
        <v>2</v>
      </c>
      <c r="C591" s="211"/>
      <c r="D591" s="211"/>
      <c r="E591" s="202"/>
      <c r="F591" s="201">
        <v>3</v>
      </c>
      <c r="G591" s="202"/>
      <c r="H591" s="152">
        <v>4</v>
      </c>
      <c r="I591" s="94">
        <v>5</v>
      </c>
      <c r="J591" s="201">
        <v>6</v>
      </c>
      <c r="K591" s="202"/>
      <c r="L591" s="51"/>
      <c r="M591" s="51"/>
      <c r="N591" s="51"/>
      <c r="O591" s="125"/>
      <c r="P591" s="48"/>
      <c r="Q591" s="75"/>
    </row>
    <row r="592" spans="1:17" ht="18.75" customHeight="1">
      <c r="A592" s="106">
        <v>1</v>
      </c>
      <c r="B592" s="182" t="s">
        <v>437</v>
      </c>
      <c r="C592" s="183"/>
      <c r="D592" s="183"/>
      <c r="E592" s="184"/>
      <c r="F592" s="176">
        <v>211</v>
      </c>
      <c r="G592" s="176"/>
      <c r="H592" s="50">
        <f>J592/I592</f>
        <v>16367.590833333334</v>
      </c>
      <c r="I592" s="117">
        <v>12</v>
      </c>
      <c r="J592" s="197">
        <f>196411.09</f>
        <v>196411.09</v>
      </c>
      <c r="K592" s="197"/>
      <c r="L592" s="51"/>
      <c r="M592" s="103"/>
      <c r="N592" s="51"/>
      <c r="O592" s="52"/>
      <c r="P592" s="42"/>
      <c r="Q592" s="75"/>
    </row>
    <row r="593" spans="1:17" ht="18.75">
      <c r="A593" s="47"/>
      <c r="B593" s="173" t="s">
        <v>130</v>
      </c>
      <c r="C593" s="174"/>
      <c r="D593" s="174"/>
      <c r="E593" s="175"/>
      <c r="F593" s="210"/>
      <c r="G593" s="210"/>
      <c r="H593" s="96" t="s">
        <v>158</v>
      </c>
      <c r="I593" s="97"/>
      <c r="J593" s="197">
        <f>SUM(J592:K592)</f>
        <v>196411.09</v>
      </c>
      <c r="K593" s="197"/>
      <c r="L593" s="51"/>
      <c r="M593" s="51"/>
      <c r="N593" s="51"/>
      <c r="O593" s="52"/>
      <c r="P593" s="44"/>
      <c r="Q593" s="75"/>
    </row>
    <row r="594" spans="1:17" ht="18.75">
      <c r="A594" s="54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2"/>
      <c r="P594" s="42"/>
      <c r="Q594" s="75"/>
    </row>
    <row r="595" spans="1:17" ht="18.75">
      <c r="A595" s="54"/>
      <c r="B595" s="51" t="s">
        <v>439</v>
      </c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2"/>
      <c r="P595" s="42"/>
      <c r="Q595" s="75"/>
    </row>
    <row r="596" spans="1:17" ht="18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2"/>
      <c r="P596" s="42"/>
      <c r="Q596" s="75"/>
    </row>
    <row r="597" spans="1:17" s="142" customFormat="1" ht="103.5" customHeight="1">
      <c r="A597" s="158" t="s">
        <v>151</v>
      </c>
      <c r="B597" s="209" t="s">
        <v>163</v>
      </c>
      <c r="C597" s="209"/>
      <c r="D597" s="209"/>
      <c r="E597" s="209"/>
      <c r="F597" s="187" t="s">
        <v>164</v>
      </c>
      <c r="G597" s="187"/>
      <c r="H597" s="151" t="s">
        <v>165</v>
      </c>
      <c r="I597" s="187" t="s">
        <v>166</v>
      </c>
      <c r="J597" s="187"/>
      <c r="K597" s="92"/>
      <c r="L597" s="92"/>
      <c r="M597" s="92"/>
      <c r="N597" s="92"/>
      <c r="O597" s="93"/>
      <c r="P597" s="138"/>
      <c r="Q597" s="141"/>
    </row>
    <row r="598" spans="1:17" ht="18.75">
      <c r="A598" s="148">
        <v>1</v>
      </c>
      <c r="B598" s="176">
        <v>2</v>
      </c>
      <c r="C598" s="176"/>
      <c r="D598" s="176"/>
      <c r="E598" s="176"/>
      <c r="F598" s="176">
        <v>3</v>
      </c>
      <c r="G598" s="176"/>
      <c r="H598" s="148">
        <v>4</v>
      </c>
      <c r="I598" s="176">
        <v>5</v>
      </c>
      <c r="J598" s="176"/>
      <c r="K598" s="51"/>
      <c r="L598" s="51"/>
      <c r="M598" s="51"/>
      <c r="N598" s="51"/>
      <c r="O598" s="52"/>
      <c r="P598" s="42"/>
      <c r="Q598" s="75"/>
    </row>
    <row r="599" spans="1:17" ht="18.75" customHeight="1">
      <c r="A599" s="47">
        <v>1</v>
      </c>
      <c r="B599" s="167" t="s">
        <v>167</v>
      </c>
      <c r="C599" s="168"/>
      <c r="D599" s="168"/>
      <c r="E599" s="169"/>
      <c r="F599" s="176">
        <v>213</v>
      </c>
      <c r="G599" s="176"/>
      <c r="H599" s="98">
        <v>30.2</v>
      </c>
      <c r="I599" s="197">
        <f>59316.15</f>
        <v>59316.15</v>
      </c>
      <c r="J599" s="197"/>
      <c r="K599" s="51"/>
      <c r="L599" s="103"/>
      <c r="M599" s="51"/>
      <c r="N599" s="51"/>
      <c r="O599" s="52"/>
      <c r="P599" s="42"/>
      <c r="Q599" s="75"/>
    </row>
    <row r="600" spans="1:17" ht="18.75">
      <c r="A600" s="47"/>
      <c r="B600" s="176" t="s">
        <v>130</v>
      </c>
      <c r="C600" s="176"/>
      <c r="D600" s="176"/>
      <c r="E600" s="176"/>
      <c r="F600" s="176"/>
      <c r="G600" s="176"/>
      <c r="H600" s="47" t="s">
        <v>168</v>
      </c>
      <c r="I600" s="197">
        <f>SUM(I599:J599)</f>
        <v>59316.15</v>
      </c>
      <c r="J600" s="197"/>
      <c r="K600" s="51"/>
      <c r="L600" s="51"/>
      <c r="M600" s="51"/>
      <c r="N600" s="51"/>
      <c r="O600" s="52"/>
      <c r="P600" s="44"/>
      <c r="Q600" s="75"/>
    </row>
    <row r="601" spans="1:17" ht="18.75">
      <c r="A601" s="54"/>
      <c r="B601" s="54"/>
      <c r="C601" s="54"/>
      <c r="D601" s="54"/>
      <c r="E601" s="54"/>
      <c r="F601" s="61"/>
      <c r="G601" s="51"/>
      <c r="H601" s="51"/>
      <c r="I601" s="51"/>
      <c r="J601" s="51"/>
      <c r="K601" s="51"/>
      <c r="L601" s="51"/>
      <c r="M601" s="51"/>
      <c r="N601" s="51"/>
      <c r="O601" s="52"/>
      <c r="P601" s="42"/>
      <c r="Q601" s="75"/>
    </row>
    <row r="602" spans="1:17" ht="18.75">
      <c r="A602" s="51"/>
      <c r="B602" s="51" t="s">
        <v>343</v>
      </c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103"/>
      <c r="N602" s="51"/>
      <c r="O602" s="52"/>
      <c r="P602" s="42"/>
      <c r="Q602" s="75"/>
    </row>
    <row r="603" spans="1:17" ht="18.75">
      <c r="A603" s="34"/>
      <c r="B603" s="51" t="s">
        <v>176</v>
      </c>
      <c r="C603" s="51"/>
      <c r="D603" s="110">
        <v>244</v>
      </c>
      <c r="E603" s="110"/>
      <c r="F603" s="110"/>
      <c r="G603" s="54"/>
      <c r="H603" s="51"/>
      <c r="I603" s="51"/>
      <c r="J603" s="51"/>
      <c r="K603" s="51"/>
      <c r="L603" s="51"/>
      <c r="M603" s="51"/>
      <c r="N603" s="51"/>
      <c r="O603" s="52"/>
      <c r="P603" s="42"/>
      <c r="Q603" s="75"/>
    </row>
    <row r="604" spans="1:17" ht="18.75">
      <c r="A604" s="34"/>
      <c r="B604" s="51" t="s">
        <v>149</v>
      </c>
      <c r="C604" s="51"/>
      <c r="D604" s="162" t="s">
        <v>262</v>
      </c>
      <c r="E604" s="162"/>
      <c r="F604" s="162"/>
      <c r="G604" s="161"/>
      <c r="H604" s="159"/>
      <c r="I604" s="159"/>
      <c r="J604" s="51"/>
      <c r="K604" s="51"/>
      <c r="L604" s="51"/>
      <c r="M604" s="51"/>
      <c r="N604" s="51"/>
      <c r="O604" s="52"/>
      <c r="P604" s="42"/>
      <c r="Q604" s="75"/>
    </row>
    <row r="605" spans="1:17" ht="18.75">
      <c r="A605" s="34"/>
      <c r="B605" s="51"/>
      <c r="C605" s="51"/>
      <c r="D605" s="54"/>
      <c r="E605" s="54"/>
      <c r="F605" s="54"/>
      <c r="G605" s="54"/>
      <c r="H605" s="51"/>
      <c r="I605" s="51"/>
      <c r="J605" s="51"/>
      <c r="K605" s="51"/>
      <c r="L605" s="51"/>
      <c r="M605" s="51"/>
      <c r="N605" s="51"/>
      <c r="O605" s="52"/>
      <c r="P605" s="42"/>
      <c r="Q605" s="75"/>
    </row>
    <row r="606" spans="1:17" ht="26.25" customHeight="1">
      <c r="A606" s="34"/>
      <c r="B606" s="51" t="s">
        <v>411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2"/>
      <c r="P606" s="44"/>
      <c r="Q606" s="75"/>
    </row>
    <row r="607" spans="1:17" ht="18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2"/>
      <c r="P607" s="44"/>
      <c r="Q607" s="75"/>
    </row>
    <row r="608" spans="1:17" s="142" customFormat="1" ht="60" customHeight="1">
      <c r="A608" s="158"/>
      <c r="B608" s="187" t="s">
        <v>0</v>
      </c>
      <c r="C608" s="187"/>
      <c r="D608" s="187"/>
      <c r="E608" s="187" t="s">
        <v>164</v>
      </c>
      <c r="F608" s="187"/>
      <c r="G608" s="187" t="s">
        <v>186</v>
      </c>
      <c r="H608" s="187"/>
      <c r="I608" s="151" t="s">
        <v>187</v>
      </c>
      <c r="J608" s="151" t="s">
        <v>216</v>
      </c>
      <c r="K608" s="92"/>
      <c r="L608" s="92"/>
      <c r="M608" s="92"/>
      <c r="N608" s="92"/>
      <c r="O608" s="93"/>
      <c r="P608" s="140"/>
      <c r="Q608" s="141"/>
    </row>
    <row r="609" spans="1:17" ht="21" customHeight="1">
      <c r="A609" s="47" t="s">
        <v>151</v>
      </c>
      <c r="B609" s="176">
        <v>2</v>
      </c>
      <c r="C609" s="176"/>
      <c r="D609" s="176"/>
      <c r="E609" s="176">
        <v>3</v>
      </c>
      <c r="F609" s="176"/>
      <c r="G609" s="176">
        <v>4</v>
      </c>
      <c r="H609" s="176"/>
      <c r="I609" s="148">
        <v>5</v>
      </c>
      <c r="J609" s="148">
        <v>6</v>
      </c>
      <c r="K609" s="157"/>
      <c r="L609" s="51"/>
      <c r="M609" s="51"/>
      <c r="N609" s="51"/>
      <c r="O609" s="52"/>
      <c r="P609" s="44"/>
      <c r="Q609" s="75"/>
    </row>
    <row r="610" spans="1:17" ht="41.25" customHeight="1">
      <c r="A610" s="148">
        <v>1</v>
      </c>
      <c r="B610" s="180" t="s">
        <v>296</v>
      </c>
      <c r="C610" s="180"/>
      <c r="D610" s="180"/>
      <c r="E610" s="176">
        <v>344</v>
      </c>
      <c r="F610" s="176"/>
      <c r="G610" s="176">
        <v>15</v>
      </c>
      <c r="H610" s="176"/>
      <c r="I610" s="50">
        <f>J610/G610</f>
        <v>1083.3333333333333</v>
      </c>
      <c r="J610" s="50">
        <f>8750+7500</f>
        <v>16250</v>
      </c>
      <c r="K610" s="51"/>
      <c r="L610" s="51"/>
      <c r="M610" s="51"/>
      <c r="N610" s="51"/>
      <c r="O610" s="52"/>
      <c r="P610" s="44"/>
      <c r="Q610" s="75"/>
    </row>
    <row r="611" spans="1:17" ht="18.75" customHeight="1">
      <c r="A611" s="47">
        <v>1</v>
      </c>
      <c r="B611" s="173" t="s">
        <v>130</v>
      </c>
      <c r="C611" s="174"/>
      <c r="D611" s="175"/>
      <c r="E611" s="176"/>
      <c r="F611" s="176"/>
      <c r="G611" s="176"/>
      <c r="H611" s="176"/>
      <c r="I611" s="47" t="s">
        <v>7</v>
      </c>
      <c r="J611" s="50">
        <f>SUM(J610:J610)</f>
        <v>16250</v>
      </c>
      <c r="K611" s="51"/>
      <c r="L611" s="51"/>
      <c r="M611" s="51"/>
      <c r="N611" s="51"/>
      <c r="O611" s="52"/>
      <c r="P611" s="44"/>
      <c r="Q611" s="75"/>
    </row>
    <row r="612" spans="1:17" ht="18.75">
      <c r="A612" s="54"/>
      <c r="B612" s="54"/>
      <c r="C612" s="54"/>
      <c r="D612" s="54"/>
      <c r="E612" s="54"/>
      <c r="F612" s="61"/>
      <c r="G612" s="51"/>
      <c r="H612" s="51"/>
      <c r="I612" s="51"/>
      <c r="J612" s="51"/>
      <c r="K612" s="51"/>
      <c r="L612" s="51"/>
      <c r="M612" s="51"/>
      <c r="N612" s="51"/>
      <c r="O612" s="52"/>
      <c r="P612" s="42"/>
      <c r="Q612" s="75"/>
    </row>
    <row r="613" spans="1:17" ht="18.75">
      <c r="A613" s="51"/>
      <c r="B613" s="55" t="s">
        <v>412</v>
      </c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1"/>
      <c r="O613" s="52"/>
      <c r="P613" s="42"/>
      <c r="Q613" s="75"/>
    </row>
    <row r="614" spans="1:17" ht="18.7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1"/>
      <c r="O614" s="52"/>
      <c r="P614" s="42"/>
      <c r="Q614" s="75"/>
    </row>
    <row r="615" spans="1:17" ht="56.25" customHeight="1">
      <c r="A615" s="47" t="s">
        <v>151</v>
      </c>
      <c r="B615" s="208" t="s">
        <v>0</v>
      </c>
      <c r="C615" s="208"/>
      <c r="D615" s="208"/>
      <c r="E615" s="208" t="s">
        <v>164</v>
      </c>
      <c r="F615" s="208"/>
      <c r="G615" s="208" t="s">
        <v>186</v>
      </c>
      <c r="H615" s="208"/>
      <c r="I615" s="59" t="s">
        <v>187</v>
      </c>
      <c r="J615" s="59" t="s">
        <v>188</v>
      </c>
      <c r="K615" s="51"/>
      <c r="L615" s="51"/>
      <c r="M615" s="51"/>
      <c r="N615" s="51"/>
      <c r="O615" s="52"/>
      <c r="P615" s="42"/>
      <c r="Q615" s="75"/>
    </row>
    <row r="616" spans="1:17" ht="18.75">
      <c r="A616" s="148">
        <v>1</v>
      </c>
      <c r="B616" s="176">
        <v>2</v>
      </c>
      <c r="C616" s="176"/>
      <c r="D616" s="176"/>
      <c r="E616" s="176">
        <v>3</v>
      </c>
      <c r="F616" s="176"/>
      <c r="G616" s="176">
        <v>4</v>
      </c>
      <c r="H616" s="176"/>
      <c r="I616" s="148">
        <v>5</v>
      </c>
      <c r="J616" s="148">
        <v>6</v>
      </c>
      <c r="K616" s="157"/>
      <c r="L616" s="157"/>
      <c r="M616" s="157"/>
      <c r="N616" s="157"/>
      <c r="O616" s="60"/>
      <c r="P616" s="43"/>
      <c r="Q616" s="75"/>
    </row>
    <row r="617" spans="1:17" ht="27" customHeight="1">
      <c r="A617" s="47">
        <v>1</v>
      </c>
      <c r="B617" s="180" t="s">
        <v>446</v>
      </c>
      <c r="C617" s="180"/>
      <c r="D617" s="180"/>
      <c r="E617" s="176">
        <v>346</v>
      </c>
      <c r="F617" s="176"/>
      <c r="G617" s="176">
        <v>15</v>
      </c>
      <c r="H617" s="176"/>
      <c r="I617" s="50">
        <f>ROUND(J617/G617,2)</f>
        <v>568.89</v>
      </c>
      <c r="J617" s="50">
        <v>8533.37</v>
      </c>
      <c r="K617" s="51"/>
      <c r="L617" s="51"/>
      <c r="M617" s="51"/>
      <c r="N617" s="51"/>
      <c r="O617" s="52"/>
      <c r="P617" s="42"/>
      <c r="Q617" s="75"/>
    </row>
    <row r="618" spans="1:17" ht="18.75">
      <c r="A618" s="47"/>
      <c r="B618" s="173" t="s">
        <v>130</v>
      </c>
      <c r="C618" s="174"/>
      <c r="D618" s="175"/>
      <c r="E618" s="176"/>
      <c r="F618" s="176"/>
      <c r="G618" s="176"/>
      <c r="H618" s="176"/>
      <c r="I618" s="47" t="s">
        <v>7</v>
      </c>
      <c r="J618" s="50">
        <f>SUM(J617:J617)</f>
        <v>8533.37</v>
      </c>
      <c r="K618" s="51"/>
      <c r="L618" s="51"/>
      <c r="M618" s="51"/>
      <c r="N618" s="51"/>
      <c r="O618" s="52"/>
      <c r="P618" s="44"/>
      <c r="Q618" s="75"/>
    </row>
    <row r="619" spans="1:17" ht="18.75">
      <c r="A619" s="54"/>
      <c r="B619" s="54"/>
      <c r="C619" s="54"/>
      <c r="D619" s="54"/>
      <c r="E619" s="54"/>
      <c r="F619" s="61"/>
      <c r="G619" s="51"/>
      <c r="H619" s="51"/>
      <c r="I619" s="51"/>
      <c r="J619" s="51"/>
      <c r="K619" s="51"/>
      <c r="L619" s="51"/>
      <c r="M619" s="51"/>
      <c r="N619" s="51"/>
      <c r="O619" s="52"/>
      <c r="P619" s="42"/>
      <c r="Q619" s="75"/>
    </row>
    <row r="620" spans="1:17" ht="18.75">
      <c r="A620" s="51"/>
      <c r="B620" s="51" t="s">
        <v>294</v>
      </c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2"/>
      <c r="P620" s="42"/>
      <c r="Q620" s="75"/>
    </row>
    <row r="621" spans="1:17" ht="18.75">
      <c r="A621" s="34"/>
      <c r="B621" s="51" t="s">
        <v>176</v>
      </c>
      <c r="C621" s="51"/>
      <c r="D621" s="110">
        <v>244</v>
      </c>
      <c r="E621" s="110"/>
      <c r="F621" s="110"/>
      <c r="G621" s="54"/>
      <c r="H621" s="51"/>
      <c r="I621" s="51"/>
      <c r="J621" s="51"/>
      <c r="K621" s="51"/>
      <c r="L621" s="51"/>
      <c r="M621" s="51"/>
      <c r="N621" s="51"/>
      <c r="O621" s="52"/>
      <c r="P621" s="42"/>
      <c r="Q621" s="75"/>
    </row>
    <row r="622" spans="1:17" ht="18.75">
      <c r="A622" s="34"/>
      <c r="B622" s="51" t="s">
        <v>149</v>
      </c>
      <c r="C622" s="51"/>
      <c r="D622" s="112" t="s">
        <v>291</v>
      </c>
      <c r="E622" s="112"/>
      <c r="F622" s="112"/>
      <c r="G622" s="54"/>
      <c r="H622" s="51"/>
      <c r="I622" s="51"/>
      <c r="J622" s="51"/>
      <c r="K622" s="51"/>
      <c r="L622" s="51"/>
      <c r="M622" s="51"/>
      <c r="N622" s="51"/>
      <c r="O622" s="52"/>
      <c r="P622" s="42"/>
      <c r="Q622" s="75"/>
    </row>
    <row r="623" spans="1:17" ht="18.75">
      <c r="A623" s="54"/>
      <c r="B623" s="54"/>
      <c r="C623" s="54"/>
      <c r="D623" s="54"/>
      <c r="E623" s="54"/>
      <c r="F623" s="61"/>
      <c r="G623" s="51"/>
      <c r="H623" s="51"/>
      <c r="I623" s="51"/>
      <c r="J623" s="51"/>
      <c r="K623" s="51"/>
      <c r="L623" s="51"/>
      <c r="M623" s="51"/>
      <c r="N623" s="51"/>
      <c r="O623" s="52"/>
      <c r="P623" s="42"/>
      <c r="Q623" s="75"/>
    </row>
    <row r="624" spans="1:17" ht="18.75">
      <c r="A624" s="51"/>
      <c r="B624" s="55" t="s">
        <v>413</v>
      </c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1"/>
      <c r="O624" s="52"/>
      <c r="P624" s="42"/>
      <c r="Q624" s="75"/>
    </row>
    <row r="625" spans="1:17" ht="18.7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1"/>
      <c r="O625" s="52"/>
      <c r="P625" s="42"/>
      <c r="Q625" s="75"/>
    </row>
    <row r="626" spans="1:17" ht="56.25">
      <c r="A626" s="47" t="s">
        <v>151</v>
      </c>
      <c r="B626" s="208" t="s">
        <v>0</v>
      </c>
      <c r="C626" s="208"/>
      <c r="D626" s="208"/>
      <c r="E626" s="208" t="s">
        <v>164</v>
      </c>
      <c r="F626" s="208"/>
      <c r="G626" s="208" t="s">
        <v>186</v>
      </c>
      <c r="H626" s="208"/>
      <c r="I626" s="59" t="s">
        <v>187</v>
      </c>
      <c r="J626" s="59" t="s">
        <v>188</v>
      </c>
      <c r="K626" s="51"/>
      <c r="L626" s="51"/>
      <c r="M626" s="51"/>
      <c r="N626" s="51"/>
      <c r="O626" s="52"/>
      <c r="P626" s="42"/>
      <c r="Q626" s="75"/>
    </row>
    <row r="627" spans="1:17" ht="18.75">
      <c r="A627" s="148">
        <v>1</v>
      </c>
      <c r="B627" s="176">
        <v>2</v>
      </c>
      <c r="C627" s="176"/>
      <c r="D627" s="176"/>
      <c r="E627" s="176">
        <v>3</v>
      </c>
      <c r="F627" s="176"/>
      <c r="G627" s="176">
        <v>4</v>
      </c>
      <c r="H627" s="176"/>
      <c r="I627" s="148">
        <v>5</v>
      </c>
      <c r="J627" s="148">
        <v>6</v>
      </c>
      <c r="K627" s="157"/>
      <c r="L627" s="157"/>
      <c r="M627" s="157"/>
      <c r="N627" s="157"/>
      <c r="O627" s="60"/>
      <c r="P627" s="43"/>
      <c r="Q627" s="75"/>
    </row>
    <row r="628" spans="1:17" ht="38.25" customHeight="1">
      <c r="A628" s="47">
        <v>1</v>
      </c>
      <c r="B628" s="180" t="s">
        <v>442</v>
      </c>
      <c r="C628" s="180"/>
      <c r="D628" s="180"/>
      <c r="E628" s="173">
        <v>344</v>
      </c>
      <c r="F628" s="175"/>
      <c r="G628" s="173">
        <v>7</v>
      </c>
      <c r="H628" s="175"/>
      <c r="I628" s="50">
        <f>ROUND(J628/G628,2)</f>
        <v>553.14</v>
      </c>
      <c r="J628" s="50">
        <v>3872</v>
      </c>
      <c r="K628" s="51"/>
      <c r="L628" s="51"/>
      <c r="M628" s="51"/>
      <c r="N628" s="51"/>
      <c r="O628" s="52"/>
      <c r="P628" s="42"/>
      <c r="Q628" s="75"/>
    </row>
    <row r="629" spans="1:17" ht="38.25" customHeight="1">
      <c r="A629" s="47">
        <v>2</v>
      </c>
      <c r="B629" s="180" t="s">
        <v>466</v>
      </c>
      <c r="C629" s="180"/>
      <c r="D629" s="180"/>
      <c r="E629" s="173">
        <v>344</v>
      </c>
      <c r="F629" s="175"/>
      <c r="G629" s="173">
        <v>24</v>
      </c>
      <c r="H629" s="175"/>
      <c r="I629" s="50">
        <f>ROUND(J629/G629,2)</f>
        <v>515.15</v>
      </c>
      <c r="J629" s="50">
        <f>12363.68</f>
        <v>12363.68</v>
      </c>
      <c r="K629" s="51"/>
      <c r="L629" s="51"/>
      <c r="M629" s="51"/>
      <c r="N629" s="51"/>
      <c r="O629" s="52"/>
      <c r="P629" s="42"/>
      <c r="Q629" s="75"/>
    </row>
    <row r="630" spans="1:17" ht="18.75">
      <c r="A630" s="47"/>
      <c r="B630" s="173" t="s">
        <v>130</v>
      </c>
      <c r="C630" s="174"/>
      <c r="D630" s="175"/>
      <c r="E630" s="176"/>
      <c r="F630" s="176"/>
      <c r="G630" s="176"/>
      <c r="H630" s="176"/>
      <c r="I630" s="47" t="s">
        <v>7</v>
      </c>
      <c r="J630" s="50">
        <f>SUM(J628:J629)</f>
        <v>16235.68</v>
      </c>
      <c r="K630" s="51"/>
      <c r="L630" s="51"/>
      <c r="M630" s="51"/>
      <c r="N630" s="51"/>
      <c r="O630" s="52"/>
      <c r="P630" s="44"/>
      <c r="Q630" s="75"/>
    </row>
    <row r="631" spans="1:17" ht="18.75">
      <c r="A631" s="54"/>
      <c r="B631" s="54"/>
      <c r="C631" s="54"/>
      <c r="D631" s="54"/>
      <c r="E631" s="54"/>
      <c r="F631" s="61"/>
      <c r="G631" s="51"/>
      <c r="H631" s="51"/>
      <c r="I631" s="51"/>
      <c r="J631" s="51"/>
      <c r="K631" s="51"/>
      <c r="L631" s="51"/>
      <c r="M631" s="51"/>
      <c r="N631" s="51"/>
      <c r="O631" s="52"/>
      <c r="P631" s="42"/>
      <c r="Q631" s="75"/>
    </row>
    <row r="632" spans="1:17" ht="18.75">
      <c r="A632" s="51"/>
      <c r="B632" s="51" t="s">
        <v>346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4"/>
      <c r="P632" s="79"/>
      <c r="Q632" s="75"/>
    </row>
    <row r="633" spans="1:17" ht="18.75">
      <c r="A633" s="51"/>
      <c r="B633" s="51" t="s">
        <v>148</v>
      </c>
      <c r="C633" s="51"/>
      <c r="D633" s="156">
        <v>100</v>
      </c>
      <c r="E633" s="54"/>
      <c r="F633" s="54"/>
      <c r="G633" s="54"/>
      <c r="H633" s="54"/>
      <c r="I633" s="54"/>
      <c r="J633" s="51"/>
      <c r="K633" s="51"/>
      <c r="L633" s="51"/>
      <c r="M633" s="51"/>
      <c r="N633" s="51"/>
      <c r="O633" s="54"/>
      <c r="P633" s="79"/>
      <c r="Q633" s="75"/>
    </row>
    <row r="634" spans="1:17" ht="18.75">
      <c r="A634" s="51"/>
      <c r="B634" s="51" t="s">
        <v>149</v>
      </c>
      <c r="C634" s="51"/>
      <c r="D634" s="51"/>
      <c r="E634" s="164" t="s">
        <v>302</v>
      </c>
      <c r="F634" s="161" t="s">
        <v>223</v>
      </c>
      <c r="G634" s="161"/>
      <c r="H634" s="161"/>
      <c r="I634" s="54"/>
      <c r="J634" s="54"/>
      <c r="K634" s="51"/>
      <c r="L634" s="51"/>
      <c r="M634" s="51"/>
      <c r="N634" s="51"/>
      <c r="O634" s="54"/>
      <c r="P634" s="79"/>
      <c r="Q634" s="75"/>
    </row>
    <row r="635" spans="1:17" ht="18.75">
      <c r="A635" s="51"/>
      <c r="B635" s="51"/>
      <c r="C635" s="51"/>
      <c r="D635" s="51"/>
      <c r="E635" s="53"/>
      <c r="F635" s="54"/>
      <c r="G635" s="54"/>
      <c r="H635" s="54"/>
      <c r="I635" s="54"/>
      <c r="J635" s="54"/>
      <c r="K635" s="51"/>
      <c r="L635" s="51"/>
      <c r="M635" s="51"/>
      <c r="N635" s="51"/>
      <c r="O635" s="54"/>
      <c r="P635" s="79"/>
      <c r="Q635" s="75"/>
    </row>
    <row r="636" spans="1:18" ht="18.75">
      <c r="A636" s="51"/>
      <c r="B636" s="51" t="s">
        <v>414</v>
      </c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2"/>
      <c r="P636" s="79"/>
      <c r="Q636" s="75"/>
      <c r="R636" s="77"/>
    </row>
    <row r="637" spans="1:17" ht="18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2"/>
      <c r="P637" s="79"/>
      <c r="Q637" s="75"/>
    </row>
    <row r="638" spans="1:17" ht="56.25">
      <c r="A638" s="158" t="s">
        <v>151</v>
      </c>
      <c r="B638" s="187" t="s">
        <v>152</v>
      </c>
      <c r="C638" s="187"/>
      <c r="D638" s="187"/>
      <c r="E638" s="187"/>
      <c r="F638" s="187" t="s">
        <v>153</v>
      </c>
      <c r="G638" s="187"/>
      <c r="H638" s="151" t="s">
        <v>154</v>
      </c>
      <c r="I638" s="151" t="s">
        <v>155</v>
      </c>
      <c r="J638" s="192" t="s">
        <v>303</v>
      </c>
      <c r="K638" s="194"/>
      <c r="L638" s="92"/>
      <c r="M638" s="92"/>
      <c r="N638" s="92"/>
      <c r="O638" s="93"/>
      <c r="P638" s="88"/>
      <c r="Q638" s="75"/>
    </row>
    <row r="639" spans="1:17" ht="18.75">
      <c r="A639" s="148">
        <v>1</v>
      </c>
      <c r="B639" s="192">
        <v>2</v>
      </c>
      <c r="C639" s="193"/>
      <c r="D639" s="193"/>
      <c r="E639" s="194"/>
      <c r="F639" s="201">
        <v>3</v>
      </c>
      <c r="G639" s="202"/>
      <c r="H639" s="152">
        <v>4</v>
      </c>
      <c r="I639" s="94">
        <v>5</v>
      </c>
      <c r="J639" s="201">
        <v>6</v>
      </c>
      <c r="K639" s="202"/>
      <c r="L639" s="157"/>
      <c r="M639" s="157"/>
      <c r="N639" s="157"/>
      <c r="O639" s="60"/>
      <c r="P639" s="89"/>
      <c r="Q639" s="75"/>
    </row>
    <row r="640" spans="1:17" ht="80.25" customHeight="1">
      <c r="A640" s="99">
        <v>1</v>
      </c>
      <c r="B640" s="182" t="s">
        <v>304</v>
      </c>
      <c r="C640" s="183"/>
      <c r="D640" s="183"/>
      <c r="E640" s="184"/>
      <c r="F640" s="176">
        <v>211</v>
      </c>
      <c r="G640" s="176"/>
      <c r="H640" s="153">
        <f>J640/I640</f>
        <v>200000</v>
      </c>
      <c r="I640" s="95">
        <v>12</v>
      </c>
      <c r="J640" s="197">
        <f>2200000+157400+42600</f>
        <v>2400000</v>
      </c>
      <c r="K640" s="197"/>
      <c r="L640" s="103"/>
      <c r="M640" s="103"/>
      <c r="N640" s="51"/>
      <c r="O640" s="52"/>
      <c r="P640" s="79"/>
      <c r="Q640" s="75"/>
    </row>
    <row r="641" spans="1:17" ht="18.75">
      <c r="A641" s="47"/>
      <c r="B641" s="173" t="s">
        <v>130</v>
      </c>
      <c r="C641" s="174"/>
      <c r="D641" s="174"/>
      <c r="E641" s="175"/>
      <c r="F641" s="176"/>
      <c r="G641" s="176"/>
      <c r="H641" s="96"/>
      <c r="I641" s="97"/>
      <c r="J641" s="197">
        <f>SUM(J640:K640)</f>
        <v>2400000</v>
      </c>
      <c r="K641" s="197"/>
      <c r="L641" s="51"/>
      <c r="M641" s="51"/>
      <c r="N641" s="51"/>
      <c r="O641" s="52"/>
      <c r="P641" s="90"/>
      <c r="Q641" s="75"/>
    </row>
    <row r="642" spans="1:17" ht="18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2"/>
      <c r="P642" s="79"/>
      <c r="Q642" s="75"/>
    </row>
    <row r="643" spans="1:17" ht="18.75">
      <c r="A643" s="51"/>
      <c r="B643" s="51" t="s">
        <v>415</v>
      </c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2"/>
      <c r="P643" s="79"/>
      <c r="Q643" s="75"/>
    </row>
    <row r="644" spans="1:17" ht="18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103"/>
      <c r="N644" s="51"/>
      <c r="O644" s="52"/>
      <c r="P644" s="79"/>
      <c r="Q644" s="75"/>
    </row>
    <row r="645" spans="1:17" ht="93.75">
      <c r="A645" s="158" t="s">
        <v>151</v>
      </c>
      <c r="B645" s="205" t="s">
        <v>163</v>
      </c>
      <c r="C645" s="206"/>
      <c r="D645" s="206"/>
      <c r="E645" s="207"/>
      <c r="F645" s="192" t="s">
        <v>153</v>
      </c>
      <c r="G645" s="194"/>
      <c r="H645" s="151" t="s">
        <v>305</v>
      </c>
      <c r="I645" s="192" t="s">
        <v>306</v>
      </c>
      <c r="J645" s="194"/>
      <c r="K645" s="92"/>
      <c r="L645" s="92"/>
      <c r="M645" s="105"/>
      <c r="N645" s="92"/>
      <c r="O645" s="93"/>
      <c r="P645" s="88"/>
      <c r="Q645" s="75"/>
    </row>
    <row r="646" spans="1:17" ht="18.75">
      <c r="A646" s="148">
        <v>1</v>
      </c>
      <c r="B646" s="173">
        <v>2</v>
      </c>
      <c r="C646" s="174"/>
      <c r="D646" s="174"/>
      <c r="E646" s="175"/>
      <c r="F646" s="173">
        <v>3</v>
      </c>
      <c r="G646" s="175"/>
      <c r="H646" s="148">
        <v>4</v>
      </c>
      <c r="I646" s="173">
        <v>5</v>
      </c>
      <c r="J646" s="175"/>
      <c r="K646" s="51"/>
      <c r="L646" s="103"/>
      <c r="M646" s="51"/>
      <c r="N646" s="51"/>
      <c r="O646" s="52"/>
      <c r="P646" s="79"/>
      <c r="Q646" s="75"/>
    </row>
    <row r="647" spans="1:17" ht="78.75" customHeight="1">
      <c r="A647" s="47">
        <v>1</v>
      </c>
      <c r="B647" s="167" t="s">
        <v>307</v>
      </c>
      <c r="C647" s="168"/>
      <c r="D647" s="168"/>
      <c r="E647" s="169"/>
      <c r="F647" s="173">
        <v>213</v>
      </c>
      <c r="G647" s="175"/>
      <c r="H647" s="98">
        <v>30.2</v>
      </c>
      <c r="I647" s="203">
        <f>594000+130800</f>
        <v>724800</v>
      </c>
      <c r="J647" s="204"/>
      <c r="K647" s="51"/>
      <c r="L647" s="103"/>
      <c r="M647" s="51"/>
      <c r="N647" s="51"/>
      <c r="O647" s="52"/>
      <c r="P647" s="79"/>
      <c r="Q647" s="75"/>
    </row>
    <row r="648" spans="1:17" ht="18.75">
      <c r="A648" s="47"/>
      <c r="B648" s="173" t="s">
        <v>130</v>
      </c>
      <c r="C648" s="174"/>
      <c r="D648" s="174"/>
      <c r="E648" s="175"/>
      <c r="F648" s="173"/>
      <c r="G648" s="175"/>
      <c r="H648" s="47" t="s">
        <v>168</v>
      </c>
      <c r="I648" s="203">
        <f>SUM(I647:J647)</f>
        <v>724800</v>
      </c>
      <c r="J648" s="204"/>
      <c r="K648" s="51"/>
      <c r="L648" s="51"/>
      <c r="M648" s="51"/>
      <c r="N648" s="51"/>
      <c r="O648" s="52"/>
      <c r="P648" s="90"/>
      <c r="Q648" s="75"/>
    </row>
    <row r="649" spans="1:17" ht="18.75">
      <c r="A649" s="54"/>
      <c r="B649" s="54"/>
      <c r="C649" s="54"/>
      <c r="D649" s="54"/>
      <c r="E649" s="54"/>
      <c r="F649" s="61"/>
      <c r="G649" s="51"/>
      <c r="H649" s="51"/>
      <c r="I649" s="51"/>
      <c r="J649" s="51"/>
      <c r="K649" s="51"/>
      <c r="L649" s="51"/>
      <c r="M649" s="51"/>
      <c r="N649" s="51"/>
      <c r="O649" s="52"/>
      <c r="P649" s="42"/>
      <c r="Q649" s="75"/>
    </row>
    <row r="650" spans="1:18" ht="18.75">
      <c r="A650" s="51"/>
      <c r="B650" s="51" t="s">
        <v>416</v>
      </c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2"/>
      <c r="P650" s="79"/>
      <c r="Q650" s="75"/>
      <c r="R650" s="77"/>
    </row>
    <row r="651" spans="1:17" ht="18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2"/>
      <c r="P651" s="79"/>
      <c r="Q651" s="75"/>
    </row>
    <row r="652" spans="1:17" ht="56.25">
      <c r="A652" s="158" t="s">
        <v>151</v>
      </c>
      <c r="B652" s="187" t="s">
        <v>152</v>
      </c>
      <c r="C652" s="187"/>
      <c r="D652" s="187"/>
      <c r="E652" s="187"/>
      <c r="F652" s="187" t="s">
        <v>153</v>
      </c>
      <c r="G652" s="187"/>
      <c r="H652" s="151" t="s">
        <v>154</v>
      </c>
      <c r="I652" s="151" t="s">
        <v>155</v>
      </c>
      <c r="J652" s="192" t="s">
        <v>303</v>
      </c>
      <c r="K652" s="194"/>
      <c r="L652" s="92"/>
      <c r="M652" s="92"/>
      <c r="N652" s="92"/>
      <c r="O652" s="93"/>
      <c r="P652" s="88"/>
      <c r="Q652" s="75"/>
    </row>
    <row r="653" spans="1:17" ht="18.75">
      <c r="A653" s="148">
        <v>1</v>
      </c>
      <c r="B653" s="192">
        <v>2</v>
      </c>
      <c r="C653" s="193"/>
      <c r="D653" s="193"/>
      <c r="E653" s="194"/>
      <c r="F653" s="201">
        <v>3</v>
      </c>
      <c r="G653" s="202"/>
      <c r="H653" s="152">
        <v>4</v>
      </c>
      <c r="I653" s="94">
        <v>5</v>
      </c>
      <c r="J653" s="201">
        <v>6</v>
      </c>
      <c r="K653" s="202"/>
      <c r="L653" s="157"/>
      <c r="M653" s="157"/>
      <c r="N653" s="157"/>
      <c r="O653" s="60"/>
      <c r="P653" s="89"/>
      <c r="Q653" s="75"/>
    </row>
    <row r="654" spans="1:17" ht="129" customHeight="1">
      <c r="A654" s="99">
        <v>1</v>
      </c>
      <c r="B654" s="182" t="s">
        <v>377</v>
      </c>
      <c r="C654" s="183"/>
      <c r="D654" s="183"/>
      <c r="E654" s="184"/>
      <c r="F654" s="176">
        <v>211</v>
      </c>
      <c r="G654" s="176"/>
      <c r="H654" s="153">
        <f>J654/I654</f>
        <v>17359.26</v>
      </c>
      <c r="I654" s="95">
        <v>12</v>
      </c>
      <c r="J654" s="197">
        <f>208311.12</f>
        <v>208311.12</v>
      </c>
      <c r="K654" s="197"/>
      <c r="L654" s="51"/>
      <c r="M654" s="51"/>
      <c r="N654" s="51"/>
      <c r="O654" s="52"/>
      <c r="P654" s="79"/>
      <c r="Q654" s="75"/>
    </row>
    <row r="655" spans="1:17" ht="18.75">
      <c r="A655" s="47"/>
      <c r="B655" s="173" t="s">
        <v>130</v>
      </c>
      <c r="C655" s="174"/>
      <c r="D655" s="174"/>
      <c r="E655" s="175"/>
      <c r="F655" s="176"/>
      <c r="G655" s="176"/>
      <c r="H655" s="96"/>
      <c r="I655" s="97"/>
      <c r="J655" s="197">
        <f>SUM(J654:K654)</f>
        <v>208311.12</v>
      </c>
      <c r="K655" s="197"/>
      <c r="L655" s="51"/>
      <c r="M655" s="51"/>
      <c r="N655" s="51"/>
      <c r="O655" s="52"/>
      <c r="P655" s="90"/>
      <c r="Q655" s="75"/>
    </row>
    <row r="656" spans="1:17" ht="18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2"/>
      <c r="P656" s="79"/>
      <c r="Q656" s="75"/>
    </row>
    <row r="657" spans="1:17" ht="18.75">
      <c r="A657" s="51"/>
      <c r="B657" s="51" t="s">
        <v>417</v>
      </c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2"/>
      <c r="P657" s="79"/>
      <c r="Q657" s="75"/>
    </row>
    <row r="658" spans="1:17" ht="18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103"/>
      <c r="N658" s="51"/>
      <c r="O658" s="52"/>
      <c r="P658" s="79"/>
      <c r="Q658" s="75"/>
    </row>
    <row r="659" spans="1:17" ht="93.75">
      <c r="A659" s="158" t="s">
        <v>151</v>
      </c>
      <c r="B659" s="205" t="s">
        <v>163</v>
      </c>
      <c r="C659" s="206"/>
      <c r="D659" s="206"/>
      <c r="E659" s="207"/>
      <c r="F659" s="192" t="s">
        <v>153</v>
      </c>
      <c r="G659" s="194"/>
      <c r="H659" s="151" t="s">
        <v>305</v>
      </c>
      <c r="I659" s="192" t="s">
        <v>306</v>
      </c>
      <c r="J659" s="194"/>
      <c r="K659" s="92"/>
      <c r="L659" s="92"/>
      <c r="M659" s="105"/>
      <c r="N659" s="92"/>
      <c r="O659" s="93"/>
      <c r="P659" s="88"/>
      <c r="Q659" s="75"/>
    </row>
    <row r="660" spans="1:17" ht="18.75">
      <c r="A660" s="148">
        <v>1</v>
      </c>
      <c r="B660" s="173">
        <v>2</v>
      </c>
      <c r="C660" s="174"/>
      <c r="D660" s="174"/>
      <c r="E660" s="175"/>
      <c r="F660" s="173">
        <v>3</v>
      </c>
      <c r="G660" s="175"/>
      <c r="H660" s="148">
        <v>4</v>
      </c>
      <c r="I660" s="173">
        <v>5</v>
      </c>
      <c r="J660" s="175"/>
      <c r="K660" s="51"/>
      <c r="L660" s="103"/>
      <c r="M660" s="51"/>
      <c r="N660" s="51"/>
      <c r="O660" s="52"/>
      <c r="P660" s="79"/>
      <c r="Q660" s="75"/>
    </row>
    <row r="661" spans="1:17" ht="106.5" customHeight="1">
      <c r="A661" s="47">
        <v>1</v>
      </c>
      <c r="B661" s="182" t="s">
        <v>377</v>
      </c>
      <c r="C661" s="183"/>
      <c r="D661" s="183"/>
      <c r="E661" s="184"/>
      <c r="F661" s="173">
        <v>213</v>
      </c>
      <c r="G661" s="175"/>
      <c r="H661" s="98">
        <v>30.2</v>
      </c>
      <c r="I661" s="203">
        <f>62910.88</f>
        <v>62910.88</v>
      </c>
      <c r="J661" s="204"/>
      <c r="K661" s="103"/>
      <c r="L661" s="103"/>
      <c r="M661" s="51"/>
      <c r="N661" s="51"/>
      <c r="O661" s="52"/>
      <c r="P661" s="79"/>
      <c r="Q661" s="75"/>
    </row>
    <row r="662" spans="1:17" ht="18.75">
      <c r="A662" s="47"/>
      <c r="B662" s="173" t="s">
        <v>130</v>
      </c>
      <c r="C662" s="174"/>
      <c r="D662" s="174"/>
      <c r="E662" s="175"/>
      <c r="F662" s="173"/>
      <c r="G662" s="175"/>
      <c r="H662" s="47" t="s">
        <v>168</v>
      </c>
      <c r="I662" s="203">
        <f>SUM(I661:J661)</f>
        <v>62910.88</v>
      </c>
      <c r="J662" s="204"/>
      <c r="K662" s="51"/>
      <c r="L662" s="51"/>
      <c r="M662" s="51"/>
      <c r="N662" s="51"/>
      <c r="O662" s="52"/>
      <c r="P662" s="90"/>
      <c r="Q662" s="75"/>
    </row>
    <row r="663" spans="1:17" ht="18.75">
      <c r="A663" s="54"/>
      <c r="B663" s="54"/>
      <c r="C663" s="54"/>
      <c r="D663" s="54"/>
      <c r="E663" s="54"/>
      <c r="F663" s="61"/>
      <c r="G663" s="51"/>
      <c r="H663" s="51"/>
      <c r="I663" s="51"/>
      <c r="J663" s="51"/>
      <c r="K663" s="51"/>
      <c r="L663" s="51"/>
      <c r="M663" s="51"/>
      <c r="N663" s="51"/>
      <c r="O663" s="52"/>
      <c r="P663" s="42"/>
      <c r="Q663" s="75"/>
    </row>
    <row r="664" spans="1:16" ht="18.75">
      <c r="A664" s="51"/>
      <c r="B664" s="51" t="s">
        <v>418</v>
      </c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2"/>
      <c r="P664" s="79"/>
    </row>
    <row r="665" spans="1:16" ht="18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2"/>
      <c r="P665" s="75"/>
    </row>
    <row r="666" spans="1:16" ht="56.25">
      <c r="A666" s="158" t="s">
        <v>151</v>
      </c>
      <c r="B666" s="187" t="s">
        <v>152</v>
      </c>
      <c r="C666" s="187"/>
      <c r="D666" s="187"/>
      <c r="E666" s="187"/>
      <c r="F666" s="187" t="s">
        <v>153</v>
      </c>
      <c r="G666" s="187"/>
      <c r="H666" s="151" t="s">
        <v>154</v>
      </c>
      <c r="I666" s="151" t="s">
        <v>155</v>
      </c>
      <c r="J666" s="192" t="s">
        <v>303</v>
      </c>
      <c r="K666" s="194"/>
      <c r="L666" s="92"/>
      <c r="M666" s="92"/>
      <c r="N666" s="92"/>
      <c r="O666" s="93"/>
      <c r="P666" s="88"/>
    </row>
    <row r="667" spans="1:16" ht="18.75">
      <c r="A667" s="148">
        <v>1</v>
      </c>
      <c r="B667" s="192">
        <v>2</v>
      </c>
      <c r="C667" s="193"/>
      <c r="D667" s="193"/>
      <c r="E667" s="194"/>
      <c r="F667" s="201">
        <v>3</v>
      </c>
      <c r="G667" s="202"/>
      <c r="H667" s="152">
        <v>4</v>
      </c>
      <c r="I667" s="94">
        <v>5</v>
      </c>
      <c r="J667" s="201">
        <v>6</v>
      </c>
      <c r="K667" s="202"/>
      <c r="L667" s="157"/>
      <c r="M667" s="157"/>
      <c r="N667" s="157"/>
      <c r="O667" s="60"/>
      <c r="P667" s="75" t="s">
        <v>283</v>
      </c>
    </row>
    <row r="668" spans="1:16" ht="41.25" customHeight="1">
      <c r="A668" s="99">
        <v>1</v>
      </c>
      <c r="B668" s="182" t="s">
        <v>345</v>
      </c>
      <c r="C668" s="183"/>
      <c r="D668" s="183"/>
      <c r="E668" s="184"/>
      <c r="F668" s="176">
        <v>226</v>
      </c>
      <c r="G668" s="176"/>
      <c r="H668" s="153">
        <f>J668/I668</f>
        <v>102960</v>
      </c>
      <c r="I668" s="95">
        <v>1</v>
      </c>
      <c r="J668" s="197">
        <f>118560-15600</f>
        <v>102960</v>
      </c>
      <c r="K668" s="197"/>
      <c r="L668" s="51"/>
      <c r="M668" s="51"/>
      <c r="N668" s="51"/>
      <c r="O668" s="52"/>
      <c r="P668" s="137"/>
    </row>
    <row r="669" spans="1:16" ht="18.75">
      <c r="A669" s="47"/>
      <c r="B669" s="173" t="s">
        <v>130</v>
      </c>
      <c r="C669" s="174"/>
      <c r="D669" s="174"/>
      <c r="E669" s="175"/>
      <c r="F669" s="176"/>
      <c r="G669" s="176"/>
      <c r="H669" s="96"/>
      <c r="I669" s="97"/>
      <c r="J669" s="197">
        <f>SUM(J668:K668)</f>
        <v>102960</v>
      </c>
      <c r="K669" s="197"/>
      <c r="L669" s="51"/>
      <c r="M669" s="51"/>
      <c r="N669" s="51"/>
      <c r="O669" s="52"/>
      <c r="P669" s="90"/>
    </row>
    <row r="670" spans="1:17" ht="18.75">
      <c r="A670" s="54"/>
      <c r="B670" s="54"/>
      <c r="C670" s="54"/>
      <c r="D670" s="54"/>
      <c r="E670" s="54"/>
      <c r="F670" s="61"/>
      <c r="G670" s="51"/>
      <c r="H670" s="51"/>
      <c r="I670" s="51"/>
      <c r="J670" s="51"/>
      <c r="K670" s="51"/>
      <c r="L670" s="51"/>
      <c r="M670" s="51"/>
      <c r="N670" s="51"/>
      <c r="O670" s="52"/>
      <c r="P670" s="42"/>
      <c r="Q670" s="75"/>
    </row>
    <row r="671" spans="1:17" ht="18.75">
      <c r="A671" s="51"/>
      <c r="B671" s="51" t="s">
        <v>419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2"/>
      <c r="P671" s="79"/>
      <c r="Q671" s="75"/>
    </row>
    <row r="672" spans="1:17" ht="18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2"/>
      <c r="P672" s="75"/>
      <c r="Q672" s="75"/>
    </row>
    <row r="673" spans="1:17" ht="56.25">
      <c r="A673" s="158" t="s">
        <v>151</v>
      </c>
      <c r="B673" s="187" t="s">
        <v>152</v>
      </c>
      <c r="C673" s="187"/>
      <c r="D673" s="187"/>
      <c r="E673" s="187"/>
      <c r="F673" s="187" t="s">
        <v>153</v>
      </c>
      <c r="G673" s="187"/>
      <c r="H673" s="151" t="s">
        <v>154</v>
      </c>
      <c r="I673" s="151" t="s">
        <v>155</v>
      </c>
      <c r="J673" s="192" t="s">
        <v>303</v>
      </c>
      <c r="K673" s="194"/>
      <c r="L673" s="92"/>
      <c r="M673" s="105"/>
      <c r="N673" s="92"/>
      <c r="O673" s="93"/>
      <c r="P673" s="88"/>
      <c r="Q673" s="75" t="e">
        <f>#REF!+#REF!</f>
        <v>#REF!</v>
      </c>
    </row>
    <row r="674" spans="1:17" ht="18.75">
      <c r="A674" s="148">
        <v>1</v>
      </c>
      <c r="B674" s="192">
        <v>2</v>
      </c>
      <c r="C674" s="193"/>
      <c r="D674" s="193"/>
      <c r="E674" s="194"/>
      <c r="F674" s="201">
        <v>3</v>
      </c>
      <c r="G674" s="202"/>
      <c r="H674" s="152">
        <v>4</v>
      </c>
      <c r="I674" s="94">
        <v>5</v>
      </c>
      <c r="J674" s="201">
        <v>6</v>
      </c>
      <c r="K674" s="202"/>
      <c r="L674" s="157"/>
      <c r="M674" s="157"/>
      <c r="N674" s="157"/>
      <c r="O674" s="60"/>
      <c r="P674" s="75" t="s">
        <v>283</v>
      </c>
      <c r="Q674" s="75"/>
    </row>
    <row r="675" spans="1:17" ht="46.5" customHeight="1">
      <c r="A675" s="99">
        <v>1</v>
      </c>
      <c r="B675" s="182" t="s">
        <v>369</v>
      </c>
      <c r="C675" s="183"/>
      <c r="D675" s="183"/>
      <c r="E675" s="184"/>
      <c r="F675" s="176">
        <v>226</v>
      </c>
      <c r="G675" s="176"/>
      <c r="H675" s="153">
        <f>J675/I675</f>
        <v>31093.920000000002</v>
      </c>
      <c r="I675" s="95">
        <v>1</v>
      </c>
      <c r="J675" s="197">
        <f>35805.12-4711.2</f>
        <v>31093.920000000002</v>
      </c>
      <c r="K675" s="197"/>
      <c r="L675" s="51"/>
      <c r="M675" s="103"/>
      <c r="N675" s="51"/>
      <c r="O675" s="52"/>
      <c r="P675" s="137"/>
      <c r="Q675" s="75"/>
    </row>
    <row r="676" spans="1:17" ht="18.75">
      <c r="A676" s="47"/>
      <c r="B676" s="173" t="s">
        <v>130</v>
      </c>
      <c r="C676" s="174"/>
      <c r="D676" s="174"/>
      <c r="E676" s="175"/>
      <c r="F676" s="176"/>
      <c r="G676" s="176"/>
      <c r="H676" s="96"/>
      <c r="I676" s="97"/>
      <c r="J676" s="197">
        <f>SUM(J675:K675)</f>
        <v>31093.920000000002</v>
      </c>
      <c r="K676" s="197"/>
      <c r="L676" s="51"/>
      <c r="M676" s="51"/>
      <c r="N676" s="51"/>
      <c r="O676" s="52"/>
      <c r="P676" s="90"/>
      <c r="Q676" s="75"/>
    </row>
    <row r="677" spans="1:17" ht="18.75">
      <c r="A677" s="54"/>
      <c r="B677" s="54"/>
      <c r="C677" s="54"/>
      <c r="D677" s="54"/>
      <c r="E677" s="54"/>
      <c r="F677" s="61"/>
      <c r="G677" s="51"/>
      <c r="H677" s="51"/>
      <c r="I677" s="51"/>
      <c r="J677" s="51"/>
      <c r="K677" s="51"/>
      <c r="L677" s="51"/>
      <c r="M677" s="51"/>
      <c r="N677" s="51"/>
      <c r="O677" s="52"/>
      <c r="P677" s="42"/>
      <c r="Q677" s="75"/>
    </row>
    <row r="678" spans="1:17" ht="18.75">
      <c r="A678" s="34"/>
      <c r="B678" s="123" t="s">
        <v>347</v>
      </c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51"/>
      <c r="N678" s="51"/>
      <c r="O678" s="52"/>
      <c r="P678" s="1"/>
      <c r="Q678" s="75"/>
    </row>
    <row r="679" spans="1:17" ht="18.75">
      <c r="A679" s="34"/>
      <c r="B679" s="131" t="s">
        <v>176</v>
      </c>
      <c r="C679" s="131"/>
      <c r="D679" s="132">
        <v>243</v>
      </c>
      <c r="E679" s="132"/>
      <c r="F679" s="131"/>
      <c r="G679" s="131"/>
      <c r="H679" s="83"/>
      <c r="I679" s="83"/>
      <c r="J679" s="83"/>
      <c r="K679" s="127"/>
      <c r="L679" s="127"/>
      <c r="M679" s="51"/>
      <c r="N679" s="51"/>
      <c r="O679" s="52"/>
      <c r="P679" s="1"/>
      <c r="Q679" s="75"/>
    </row>
    <row r="680" spans="1:17" ht="18.75">
      <c r="A680" s="34"/>
      <c r="B680" s="83" t="s">
        <v>149</v>
      </c>
      <c r="C680" s="83"/>
      <c r="D680" s="111"/>
      <c r="E680" s="111" t="s">
        <v>219</v>
      </c>
      <c r="F680" s="111"/>
      <c r="G680" s="111"/>
      <c r="H680" s="83"/>
      <c r="I680" s="83"/>
      <c r="J680" s="83"/>
      <c r="K680" s="127"/>
      <c r="L680" s="127"/>
      <c r="M680" s="51"/>
      <c r="N680" s="51"/>
      <c r="O680" s="52"/>
      <c r="P680" s="1"/>
      <c r="Q680" s="75"/>
    </row>
    <row r="681" spans="1:17" ht="18.75">
      <c r="A681" s="127"/>
      <c r="B681" s="127"/>
      <c r="C681" s="128"/>
      <c r="D681" s="128"/>
      <c r="E681" s="128"/>
      <c r="F681" s="128"/>
      <c r="G681" s="127"/>
      <c r="H681" s="127"/>
      <c r="I681" s="127"/>
      <c r="J681" s="127"/>
      <c r="K681" s="127"/>
      <c r="L681" s="127"/>
      <c r="M681" s="51"/>
      <c r="N681" s="51"/>
      <c r="O681" s="52"/>
      <c r="P681" s="1"/>
      <c r="Q681" s="75"/>
    </row>
    <row r="682" spans="1:17" ht="18.75">
      <c r="A682" s="127"/>
      <c r="B682" s="123" t="s">
        <v>420</v>
      </c>
      <c r="C682" s="123"/>
      <c r="D682" s="123"/>
      <c r="E682" s="123"/>
      <c r="F682" s="123"/>
      <c r="G682" s="123"/>
      <c r="H682" s="123"/>
      <c r="I682" s="123"/>
      <c r="J682" s="123"/>
      <c r="K682" s="123"/>
      <c r="L682" s="127"/>
      <c r="M682" s="51"/>
      <c r="N682" s="51"/>
      <c r="O682" s="52"/>
      <c r="P682" s="1"/>
      <c r="Q682" s="75"/>
    </row>
    <row r="683" spans="1:17" ht="18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2"/>
      <c r="P683" s="1"/>
      <c r="Q683" s="75"/>
    </row>
    <row r="684" spans="1:17" ht="37.5">
      <c r="A684" s="158" t="s">
        <v>151</v>
      </c>
      <c r="B684" s="192" t="s">
        <v>0</v>
      </c>
      <c r="C684" s="193"/>
      <c r="D684" s="193"/>
      <c r="E684" s="193"/>
      <c r="F684" s="194"/>
      <c r="G684" s="192" t="s">
        <v>153</v>
      </c>
      <c r="H684" s="194"/>
      <c r="I684" s="146" t="s">
        <v>182</v>
      </c>
      <c r="J684" s="151" t="s">
        <v>183</v>
      </c>
      <c r="K684" s="192" t="s">
        <v>184</v>
      </c>
      <c r="L684" s="194"/>
      <c r="M684" s="92"/>
      <c r="N684" s="92"/>
      <c r="O684" s="92"/>
      <c r="P684" s="92"/>
      <c r="Q684" s="75"/>
    </row>
    <row r="685" spans="1:17" ht="18.75">
      <c r="A685" s="148">
        <v>1</v>
      </c>
      <c r="B685" s="173">
        <v>2</v>
      </c>
      <c r="C685" s="174"/>
      <c r="D685" s="174"/>
      <c r="E685" s="174"/>
      <c r="F685" s="175"/>
      <c r="G685" s="173">
        <v>3</v>
      </c>
      <c r="H685" s="175"/>
      <c r="I685" s="134">
        <v>4</v>
      </c>
      <c r="J685" s="148">
        <v>5</v>
      </c>
      <c r="K685" s="173">
        <v>6</v>
      </c>
      <c r="L685" s="175"/>
      <c r="M685" s="51"/>
      <c r="N685" s="51"/>
      <c r="O685" s="51"/>
      <c r="P685" s="51"/>
      <c r="Q685" s="75"/>
    </row>
    <row r="686" spans="1:17" ht="48" customHeight="1">
      <c r="A686" s="47">
        <v>1</v>
      </c>
      <c r="B686" s="182" t="s">
        <v>344</v>
      </c>
      <c r="C686" s="183"/>
      <c r="D686" s="183"/>
      <c r="E686" s="183"/>
      <c r="F686" s="184"/>
      <c r="G686" s="173">
        <v>225</v>
      </c>
      <c r="H686" s="175"/>
      <c r="I686" s="145" t="s">
        <v>207</v>
      </c>
      <c r="J686" s="148">
        <v>1</v>
      </c>
      <c r="K686" s="190">
        <v>0</v>
      </c>
      <c r="L686" s="191"/>
      <c r="M686" s="51"/>
      <c r="N686" s="51"/>
      <c r="O686" s="51"/>
      <c r="P686" s="136">
        <v>4970940.85</v>
      </c>
      <c r="Q686" s="75"/>
    </row>
    <row r="687" spans="1:17" ht="18.75">
      <c r="A687" s="47"/>
      <c r="B687" s="182" t="s">
        <v>130</v>
      </c>
      <c r="C687" s="183"/>
      <c r="D687" s="183"/>
      <c r="E687" s="183"/>
      <c r="F687" s="184"/>
      <c r="G687" s="173"/>
      <c r="H687" s="175"/>
      <c r="I687" s="134"/>
      <c r="J687" s="148"/>
      <c r="K687" s="190">
        <f>K686</f>
        <v>0</v>
      </c>
      <c r="L687" s="191"/>
      <c r="M687" s="51"/>
      <c r="N687" s="51"/>
      <c r="O687" s="51"/>
      <c r="P687" s="51"/>
      <c r="Q687" s="75"/>
    </row>
    <row r="688" spans="1:17" ht="18.75">
      <c r="A688" s="54"/>
      <c r="B688" s="54"/>
      <c r="C688" s="54"/>
      <c r="D688" s="54"/>
      <c r="E688" s="54"/>
      <c r="F688" s="61"/>
      <c r="G688" s="51"/>
      <c r="H688" s="51"/>
      <c r="I688" s="51"/>
      <c r="J688" s="51"/>
      <c r="K688" s="51"/>
      <c r="L688" s="51"/>
      <c r="M688" s="51"/>
      <c r="N688" s="51"/>
      <c r="O688" s="52"/>
      <c r="P688" s="42"/>
      <c r="Q688" s="75"/>
    </row>
    <row r="689" spans="1:17" ht="18.75">
      <c r="A689" s="51"/>
      <c r="B689" s="51" t="s">
        <v>348</v>
      </c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4"/>
      <c r="P689" s="42"/>
      <c r="Q689" s="75"/>
    </row>
    <row r="690" spans="1:17" ht="18.75">
      <c r="A690" s="51"/>
      <c r="B690" s="51" t="s">
        <v>148</v>
      </c>
      <c r="C690" s="51"/>
      <c r="D690" s="110">
        <v>244</v>
      </c>
      <c r="E690" s="110"/>
      <c r="F690" s="110"/>
      <c r="G690" s="110"/>
      <c r="H690" s="54"/>
      <c r="I690" s="51"/>
      <c r="J690" s="51"/>
      <c r="K690" s="51"/>
      <c r="L690" s="51"/>
      <c r="M690" s="51"/>
      <c r="N690" s="51"/>
      <c r="O690" s="54"/>
      <c r="P690" s="42"/>
      <c r="Q690" s="75"/>
    </row>
    <row r="691" spans="1:17" ht="18.75">
      <c r="A691" s="51"/>
      <c r="B691" s="51" t="s">
        <v>149</v>
      </c>
      <c r="C691" s="51"/>
      <c r="D691" s="51"/>
      <c r="E691" s="51"/>
      <c r="F691" s="112" t="s">
        <v>223</v>
      </c>
      <c r="G691" s="112"/>
      <c r="H691" s="112"/>
      <c r="I691" s="112"/>
      <c r="J691" s="54"/>
      <c r="K691" s="51"/>
      <c r="L691" s="51"/>
      <c r="M691" s="51"/>
      <c r="N691" s="51"/>
      <c r="O691" s="54"/>
      <c r="P691" s="42"/>
      <c r="Q691" s="75"/>
    </row>
    <row r="692" spans="1:17" ht="18.75">
      <c r="A692" s="51"/>
      <c r="B692" s="51"/>
      <c r="C692" s="51"/>
      <c r="D692" s="51"/>
      <c r="E692" s="51"/>
      <c r="F692" s="54"/>
      <c r="G692" s="54"/>
      <c r="H692" s="54"/>
      <c r="I692" s="54"/>
      <c r="J692" s="54"/>
      <c r="K692" s="51"/>
      <c r="L692" s="51"/>
      <c r="M692" s="51"/>
      <c r="N692" s="51"/>
      <c r="O692" s="54"/>
      <c r="P692" s="42"/>
      <c r="Q692" s="75"/>
    </row>
    <row r="693" spans="1:17" ht="18.75">
      <c r="A693" s="51"/>
      <c r="B693" s="83" t="s">
        <v>421</v>
      </c>
      <c r="C693" s="83"/>
      <c r="D693" s="83"/>
      <c r="E693" s="83"/>
      <c r="F693" s="83"/>
      <c r="G693" s="83"/>
      <c r="H693" s="83"/>
      <c r="I693" s="83"/>
      <c r="J693" s="54"/>
      <c r="K693" s="51"/>
      <c r="L693" s="51"/>
      <c r="M693" s="51"/>
      <c r="N693" s="51"/>
      <c r="O693" s="54"/>
      <c r="P693" s="42"/>
      <c r="Q693" s="75"/>
    </row>
    <row r="694" spans="1:17" ht="18.75">
      <c r="A694" s="51"/>
      <c r="B694" s="51"/>
      <c r="C694" s="51"/>
      <c r="D694" s="51"/>
      <c r="E694" s="51"/>
      <c r="F694" s="54"/>
      <c r="G694" s="54"/>
      <c r="H694" s="54"/>
      <c r="I694" s="54"/>
      <c r="J694" s="54"/>
      <c r="K694" s="51"/>
      <c r="L694" s="51"/>
      <c r="M694" s="51"/>
      <c r="N694" s="51"/>
      <c r="O694" s="54"/>
      <c r="P694" s="42"/>
      <c r="Q694" s="75"/>
    </row>
    <row r="695" spans="1:17" ht="93.75" customHeight="1">
      <c r="A695" s="86" t="s">
        <v>151</v>
      </c>
      <c r="B695" s="177" t="s">
        <v>152</v>
      </c>
      <c r="C695" s="178"/>
      <c r="D695" s="179"/>
      <c r="E695" s="84" t="s">
        <v>164</v>
      </c>
      <c r="F695" s="177" t="s">
        <v>246</v>
      </c>
      <c r="G695" s="179"/>
      <c r="H695" s="177" t="s">
        <v>247</v>
      </c>
      <c r="I695" s="179"/>
      <c r="J695" s="84" t="s">
        <v>248</v>
      </c>
      <c r="K695" s="84" t="s">
        <v>174</v>
      </c>
      <c r="L695" s="51"/>
      <c r="M695" s="51"/>
      <c r="N695" s="51"/>
      <c r="O695" s="54"/>
      <c r="P695" s="42"/>
      <c r="Q695" s="75"/>
    </row>
    <row r="696" spans="1:17" ht="18.75">
      <c r="A696" s="85">
        <v>1</v>
      </c>
      <c r="B696" s="170">
        <v>2</v>
      </c>
      <c r="C696" s="172"/>
      <c r="D696" s="171"/>
      <c r="E696" s="85">
        <v>3</v>
      </c>
      <c r="F696" s="170">
        <v>4</v>
      </c>
      <c r="G696" s="171"/>
      <c r="H696" s="170">
        <v>5</v>
      </c>
      <c r="I696" s="171"/>
      <c r="J696" s="85">
        <v>6</v>
      </c>
      <c r="K696" s="85">
        <v>7</v>
      </c>
      <c r="L696" s="51"/>
      <c r="M696" s="51"/>
      <c r="N696" s="51"/>
      <c r="O696" s="54"/>
      <c r="P696" s="42"/>
      <c r="Q696" s="75"/>
    </row>
    <row r="697" spans="1:17" ht="77.25" customHeight="1">
      <c r="A697" s="86">
        <v>1</v>
      </c>
      <c r="B697" s="167" t="s">
        <v>245</v>
      </c>
      <c r="C697" s="168"/>
      <c r="D697" s="169"/>
      <c r="E697" s="86">
        <v>226</v>
      </c>
      <c r="F697" s="170">
        <v>26</v>
      </c>
      <c r="G697" s="171"/>
      <c r="H697" s="170">
        <v>10</v>
      </c>
      <c r="I697" s="171"/>
      <c r="J697" s="87">
        <v>160</v>
      </c>
      <c r="K697" s="87">
        <f>48100+3640</f>
        <v>51740</v>
      </c>
      <c r="L697" s="51"/>
      <c r="M697" s="51"/>
      <c r="N697" s="51"/>
      <c r="O697" s="54"/>
      <c r="P697" s="42"/>
      <c r="Q697" s="75"/>
    </row>
    <row r="698" spans="1:17" ht="18.75">
      <c r="A698" s="86"/>
      <c r="B698" s="170" t="s">
        <v>130</v>
      </c>
      <c r="C698" s="172"/>
      <c r="D698" s="171"/>
      <c r="E698" s="86"/>
      <c r="F698" s="170" t="s">
        <v>168</v>
      </c>
      <c r="G698" s="171"/>
      <c r="H698" s="170" t="s">
        <v>168</v>
      </c>
      <c r="I698" s="171"/>
      <c r="J698" s="86" t="s">
        <v>168</v>
      </c>
      <c r="K698" s="104">
        <f>SUM(K697:K697)</f>
        <v>51740</v>
      </c>
      <c r="L698" s="51"/>
      <c r="M698" s="51"/>
      <c r="N698" s="51"/>
      <c r="O698" s="54"/>
      <c r="P698" s="42"/>
      <c r="Q698" s="75"/>
    </row>
    <row r="699" spans="1:17" ht="18" customHeight="1">
      <c r="A699" s="82"/>
      <c r="B699" s="107"/>
      <c r="C699" s="107"/>
      <c r="D699" s="107"/>
      <c r="E699" s="82"/>
      <c r="F699" s="108"/>
      <c r="G699" s="108"/>
      <c r="H699" s="108"/>
      <c r="I699" s="108"/>
      <c r="J699" s="82"/>
      <c r="K699" s="109"/>
      <c r="L699" s="51"/>
      <c r="M699" s="51"/>
      <c r="N699" s="51"/>
      <c r="O699" s="54"/>
      <c r="P699" s="42"/>
      <c r="Q699" s="75"/>
    </row>
    <row r="700" spans="1:17" ht="18" customHeight="1">
      <c r="A700" s="51"/>
      <c r="B700" s="83" t="s">
        <v>422</v>
      </c>
      <c r="C700" s="83"/>
      <c r="D700" s="83"/>
      <c r="E700" s="83"/>
      <c r="F700" s="83"/>
      <c r="G700" s="83"/>
      <c r="H700" s="83"/>
      <c r="I700" s="83"/>
      <c r="J700" s="54"/>
      <c r="K700" s="51"/>
      <c r="L700" s="51"/>
      <c r="M700" s="51"/>
      <c r="N700" s="51"/>
      <c r="O700" s="54"/>
      <c r="P700" s="42"/>
      <c r="Q700" s="75"/>
    </row>
    <row r="701" spans="1:17" ht="18" customHeight="1">
      <c r="A701" s="51"/>
      <c r="B701" s="51"/>
      <c r="C701" s="51"/>
      <c r="D701" s="51"/>
      <c r="E701" s="51"/>
      <c r="F701" s="54"/>
      <c r="G701" s="54"/>
      <c r="H701" s="54"/>
      <c r="I701" s="54"/>
      <c r="J701" s="54"/>
      <c r="K701" s="51"/>
      <c r="L701" s="51"/>
      <c r="M701" s="51"/>
      <c r="N701" s="51"/>
      <c r="O701" s="54"/>
      <c r="P701" s="42"/>
      <c r="Q701" s="75"/>
    </row>
    <row r="702" spans="1:16" ht="102.75" customHeight="1">
      <c r="A702" s="86" t="s">
        <v>151</v>
      </c>
      <c r="B702" s="177" t="s">
        <v>152</v>
      </c>
      <c r="C702" s="178"/>
      <c r="D702" s="179"/>
      <c r="E702" s="84" t="s">
        <v>164</v>
      </c>
      <c r="F702" s="177" t="s">
        <v>323</v>
      </c>
      <c r="G702" s="179"/>
      <c r="H702" s="84" t="s">
        <v>174</v>
      </c>
      <c r="I702" s="51"/>
      <c r="J702" s="51"/>
      <c r="K702" s="51"/>
      <c r="L702" s="54"/>
      <c r="M702" s="42"/>
      <c r="N702" s="113"/>
      <c r="O702" s="113"/>
      <c r="P702" s="75"/>
    </row>
    <row r="703" spans="1:16" ht="18" customHeight="1">
      <c r="A703" s="85">
        <v>1</v>
      </c>
      <c r="B703" s="170">
        <v>2</v>
      </c>
      <c r="C703" s="172"/>
      <c r="D703" s="171"/>
      <c r="E703" s="85">
        <v>3</v>
      </c>
      <c r="F703" s="170">
        <v>4</v>
      </c>
      <c r="G703" s="171"/>
      <c r="H703" s="85">
        <v>5</v>
      </c>
      <c r="I703" s="51"/>
      <c r="J703" s="51"/>
      <c r="K703" s="51"/>
      <c r="L703" s="54"/>
      <c r="M703" s="42"/>
      <c r="N703" s="113"/>
      <c r="O703" s="113"/>
      <c r="P703" s="75"/>
    </row>
    <row r="704" spans="1:16" ht="86.25" customHeight="1">
      <c r="A704" s="86">
        <v>1</v>
      </c>
      <c r="B704" s="167" t="s">
        <v>286</v>
      </c>
      <c r="C704" s="168"/>
      <c r="D704" s="169"/>
      <c r="E704" s="86">
        <v>226</v>
      </c>
      <c r="F704" s="170">
        <v>1</v>
      </c>
      <c r="G704" s="171"/>
      <c r="H704" s="87">
        <f>193725-10763-21520</f>
        <v>161442</v>
      </c>
      <c r="I704" s="51"/>
      <c r="J704" s="51"/>
      <c r="K704" s="51"/>
      <c r="L704" s="54"/>
      <c r="M704" s="42"/>
      <c r="N704" s="113"/>
      <c r="O704" s="113"/>
      <c r="P704" s="75"/>
    </row>
    <row r="705" spans="1:16" ht="18" customHeight="1">
      <c r="A705" s="86"/>
      <c r="B705" s="170" t="s">
        <v>130</v>
      </c>
      <c r="C705" s="172"/>
      <c r="D705" s="171"/>
      <c r="E705" s="86"/>
      <c r="F705" s="170" t="s">
        <v>168</v>
      </c>
      <c r="G705" s="171"/>
      <c r="H705" s="104">
        <f>SUM(H704:H704)</f>
        <v>161442</v>
      </c>
      <c r="I705" s="51"/>
      <c r="J705" s="51"/>
      <c r="K705" s="51"/>
      <c r="L705" s="54"/>
      <c r="M705" s="42"/>
      <c r="N705" s="113"/>
      <c r="O705" s="113"/>
      <c r="P705" s="75"/>
    </row>
    <row r="706" spans="1:17" ht="18" customHeight="1">
      <c r="A706" s="82"/>
      <c r="B706" s="107"/>
      <c r="C706" s="107"/>
      <c r="D706" s="107"/>
      <c r="E706" s="82"/>
      <c r="F706" s="108"/>
      <c r="G706" s="108"/>
      <c r="H706" s="108"/>
      <c r="I706" s="108"/>
      <c r="J706" s="82"/>
      <c r="K706" s="109"/>
      <c r="L706" s="51"/>
      <c r="M706" s="51"/>
      <c r="N706" s="51"/>
      <c r="O706" s="54"/>
      <c r="P706" s="42"/>
      <c r="Q706" s="75"/>
    </row>
    <row r="707" spans="1:17" ht="18" customHeight="1">
      <c r="A707" s="51"/>
      <c r="B707" s="83" t="s">
        <v>423</v>
      </c>
      <c r="C707" s="83"/>
      <c r="D707" s="83"/>
      <c r="E707" s="83"/>
      <c r="F707" s="83"/>
      <c r="G707" s="83"/>
      <c r="H707" s="83"/>
      <c r="I707" s="83"/>
      <c r="J707" s="54"/>
      <c r="K707" s="51"/>
      <c r="L707" s="51"/>
      <c r="M707" s="51"/>
      <c r="N707" s="51"/>
      <c r="O707" s="52"/>
      <c r="P707" s="42"/>
      <c r="Q707" s="75"/>
    </row>
    <row r="708" spans="1:17" ht="18" customHeight="1">
      <c r="A708" s="51"/>
      <c r="B708" s="51"/>
      <c r="C708" s="51"/>
      <c r="D708" s="51"/>
      <c r="E708" s="51"/>
      <c r="F708" s="54"/>
      <c r="G708" s="54"/>
      <c r="H708" s="54"/>
      <c r="I708" s="54"/>
      <c r="J708" s="54"/>
      <c r="K708" s="51"/>
      <c r="L708" s="51"/>
      <c r="M708" s="51"/>
      <c r="N708" s="51"/>
      <c r="O708" s="52"/>
      <c r="P708" s="42"/>
      <c r="Q708" s="75"/>
    </row>
    <row r="709" spans="1:16" ht="95.25" customHeight="1">
      <c r="A709" s="86" t="s">
        <v>151</v>
      </c>
      <c r="B709" s="177" t="s">
        <v>152</v>
      </c>
      <c r="C709" s="178"/>
      <c r="D709" s="179"/>
      <c r="E709" s="84" t="s">
        <v>164</v>
      </c>
      <c r="F709" s="177" t="s">
        <v>323</v>
      </c>
      <c r="G709" s="179"/>
      <c r="H709" s="84" t="s">
        <v>174</v>
      </c>
      <c r="I709" s="51"/>
      <c r="J709" s="51"/>
      <c r="K709" s="51"/>
      <c r="L709" s="52"/>
      <c r="M709" s="42"/>
      <c r="N709" s="113"/>
      <c r="O709" s="113"/>
      <c r="P709" s="75"/>
    </row>
    <row r="710" spans="1:16" ht="24" customHeight="1">
      <c r="A710" s="85">
        <v>1</v>
      </c>
      <c r="B710" s="170">
        <v>2</v>
      </c>
      <c r="C710" s="172"/>
      <c r="D710" s="171"/>
      <c r="E710" s="85">
        <v>3</v>
      </c>
      <c r="F710" s="170">
        <v>4</v>
      </c>
      <c r="G710" s="171"/>
      <c r="H710" s="85">
        <v>5</v>
      </c>
      <c r="I710" s="51"/>
      <c r="J710" s="51"/>
      <c r="K710" s="51"/>
      <c r="L710" s="52"/>
      <c r="M710" s="42"/>
      <c r="N710" s="113"/>
      <c r="O710" s="113"/>
      <c r="P710" s="75">
        <f>O711</f>
        <v>0</v>
      </c>
    </row>
    <row r="711" spans="1:17" ht="83.25" customHeight="1">
      <c r="A711" s="86">
        <v>1</v>
      </c>
      <c r="B711" s="167" t="s">
        <v>301</v>
      </c>
      <c r="C711" s="168"/>
      <c r="D711" s="169"/>
      <c r="E711" s="86">
        <v>226</v>
      </c>
      <c r="F711" s="170">
        <v>1</v>
      </c>
      <c r="G711" s="171"/>
      <c r="H711" s="87">
        <f>6026639.56-891565.33</f>
        <v>5135074.2299999995</v>
      </c>
      <c r="I711" s="51"/>
      <c r="J711" s="51"/>
      <c r="K711" s="51"/>
      <c r="L711" s="52"/>
      <c r="M711" s="42"/>
      <c r="N711" s="113"/>
      <c r="O711" s="113"/>
      <c r="P711" s="75">
        <f>H711-O711</f>
        <v>5135074.2299999995</v>
      </c>
      <c r="Q711" s="6"/>
    </row>
    <row r="712" spans="1:16" ht="18" customHeight="1">
      <c r="A712" s="86"/>
      <c r="B712" s="170" t="s">
        <v>130</v>
      </c>
      <c r="C712" s="172"/>
      <c r="D712" s="171"/>
      <c r="E712" s="86"/>
      <c r="F712" s="170" t="s">
        <v>168</v>
      </c>
      <c r="G712" s="171"/>
      <c r="H712" s="104">
        <f>SUM(H711:H711)</f>
        <v>5135074.2299999995</v>
      </c>
      <c r="I712" s="51"/>
      <c r="J712" s="51"/>
      <c r="K712" s="51"/>
      <c r="L712" s="52"/>
      <c r="M712" s="42"/>
      <c r="N712" s="113"/>
      <c r="O712" s="113"/>
      <c r="P712" s="75"/>
    </row>
    <row r="713" spans="1:17" ht="18" customHeight="1">
      <c r="A713" s="82"/>
      <c r="B713" s="107"/>
      <c r="C713" s="107"/>
      <c r="D713" s="107"/>
      <c r="E713" s="82"/>
      <c r="F713" s="108"/>
      <c r="G713" s="108"/>
      <c r="H713" s="108"/>
      <c r="I713" s="108"/>
      <c r="J713" s="82"/>
      <c r="K713" s="109"/>
      <c r="L713" s="51"/>
      <c r="M713" s="51"/>
      <c r="N713" s="51"/>
      <c r="O713" s="54"/>
      <c r="P713" s="42"/>
      <c r="Q713" s="75"/>
    </row>
    <row r="714" spans="1:17" ht="18" customHeight="1">
      <c r="A714" s="51"/>
      <c r="B714" s="83" t="s">
        <v>424</v>
      </c>
      <c r="C714" s="83"/>
      <c r="D714" s="83"/>
      <c r="E714" s="83"/>
      <c r="F714" s="83"/>
      <c r="G714" s="83"/>
      <c r="H714" s="83"/>
      <c r="I714" s="83"/>
      <c r="J714" s="54"/>
      <c r="K714" s="51"/>
      <c r="L714" s="51"/>
      <c r="M714" s="51"/>
      <c r="N714" s="51"/>
      <c r="O714" s="52"/>
      <c r="P714" s="42"/>
      <c r="Q714" s="75"/>
    </row>
    <row r="715" spans="1:17" ht="18" customHeight="1">
      <c r="A715" s="51"/>
      <c r="B715" s="51"/>
      <c r="C715" s="51"/>
      <c r="D715" s="51"/>
      <c r="E715" s="51"/>
      <c r="F715" s="54"/>
      <c r="G715" s="54"/>
      <c r="H715" s="54"/>
      <c r="I715" s="54"/>
      <c r="J715" s="54"/>
      <c r="K715" s="51"/>
      <c r="L715" s="51"/>
      <c r="M715" s="51"/>
      <c r="N715" s="51"/>
      <c r="O715" s="52"/>
      <c r="P715" s="42"/>
      <c r="Q715" s="75"/>
    </row>
    <row r="716" spans="1:17" ht="99.75" customHeight="1">
      <c r="A716" s="86" t="s">
        <v>151</v>
      </c>
      <c r="B716" s="177" t="s">
        <v>152</v>
      </c>
      <c r="C716" s="178"/>
      <c r="D716" s="179"/>
      <c r="E716" s="84" t="s">
        <v>164</v>
      </c>
      <c r="F716" s="177" t="s">
        <v>323</v>
      </c>
      <c r="G716" s="179"/>
      <c r="H716" s="84" t="s">
        <v>174</v>
      </c>
      <c r="I716" s="51"/>
      <c r="J716" s="51"/>
      <c r="K716" s="51"/>
      <c r="L716" s="52"/>
      <c r="M716" s="42"/>
      <c r="N716" s="113"/>
      <c r="O716" s="113"/>
      <c r="P716" s="75"/>
      <c r="Q716" s="75"/>
    </row>
    <row r="717" spans="1:17" ht="18" customHeight="1">
      <c r="A717" s="85">
        <v>1</v>
      </c>
      <c r="B717" s="170">
        <v>2</v>
      </c>
      <c r="C717" s="172"/>
      <c r="D717" s="171"/>
      <c r="E717" s="85">
        <v>3</v>
      </c>
      <c r="F717" s="170">
        <v>4</v>
      </c>
      <c r="G717" s="171"/>
      <c r="H717" s="85">
        <v>5</v>
      </c>
      <c r="I717" s="51"/>
      <c r="J717" s="51"/>
      <c r="K717" s="51"/>
      <c r="L717" s="52"/>
      <c r="M717" s="42"/>
      <c r="N717" s="113"/>
      <c r="O717" s="113"/>
      <c r="P717" s="75">
        <f>O718</f>
        <v>0</v>
      </c>
      <c r="Q717" s="75"/>
    </row>
    <row r="718" spans="1:17" ht="79.5" customHeight="1">
      <c r="A718" s="86">
        <v>1</v>
      </c>
      <c r="B718" s="167" t="s">
        <v>249</v>
      </c>
      <c r="C718" s="168"/>
      <c r="D718" s="169"/>
      <c r="E718" s="86">
        <v>226</v>
      </c>
      <c r="F718" s="170">
        <v>1</v>
      </c>
      <c r="G718" s="171"/>
      <c r="H718" s="87">
        <f>108149.67+6050-362.98</f>
        <v>113836.69</v>
      </c>
      <c r="I718" s="51"/>
      <c r="J718" s="51"/>
      <c r="K718" s="51"/>
      <c r="L718" s="52"/>
      <c r="M718" s="42"/>
      <c r="N718" s="113"/>
      <c r="O718" s="113"/>
      <c r="P718" s="75">
        <f>H718-O718</f>
        <v>113836.69</v>
      </c>
      <c r="Q718" s="75"/>
    </row>
    <row r="719" spans="1:17" ht="18" customHeight="1">
      <c r="A719" s="86"/>
      <c r="B719" s="170" t="s">
        <v>130</v>
      </c>
      <c r="C719" s="172"/>
      <c r="D719" s="171"/>
      <c r="E719" s="86"/>
      <c r="F719" s="170" t="s">
        <v>168</v>
      </c>
      <c r="G719" s="171"/>
      <c r="H719" s="104">
        <f>SUM(H718:H718)</f>
        <v>113836.69</v>
      </c>
      <c r="I719" s="51"/>
      <c r="J719" s="51"/>
      <c r="K719" s="51"/>
      <c r="L719" s="52"/>
      <c r="M719" s="42"/>
      <c r="N719" s="113"/>
      <c r="O719" s="113"/>
      <c r="P719" s="75"/>
      <c r="Q719" s="75"/>
    </row>
    <row r="720" spans="1:17" ht="18" customHeight="1">
      <c r="A720" s="82"/>
      <c r="B720" s="107"/>
      <c r="C720" s="107"/>
      <c r="D720" s="107"/>
      <c r="E720" s="82"/>
      <c r="F720" s="108"/>
      <c r="G720" s="108"/>
      <c r="H720" s="108"/>
      <c r="I720" s="108"/>
      <c r="J720" s="82"/>
      <c r="K720" s="109"/>
      <c r="L720" s="51"/>
      <c r="M720" s="51"/>
      <c r="N720" s="51"/>
      <c r="O720" s="54"/>
      <c r="P720" s="42"/>
      <c r="Q720" s="75"/>
    </row>
    <row r="721" spans="1:17" ht="18" customHeight="1">
      <c r="A721" s="51"/>
      <c r="B721" s="83" t="s">
        <v>425</v>
      </c>
      <c r="C721" s="83"/>
      <c r="D721" s="83"/>
      <c r="E721" s="83"/>
      <c r="F721" s="83"/>
      <c r="G721" s="83"/>
      <c r="H721" s="83"/>
      <c r="I721" s="83"/>
      <c r="J721" s="54"/>
      <c r="K721" s="51"/>
      <c r="L721" s="51"/>
      <c r="M721" s="51"/>
      <c r="N721" s="51"/>
      <c r="O721" s="54"/>
      <c r="P721" s="42"/>
      <c r="Q721" s="75"/>
    </row>
    <row r="722" spans="1:17" ht="18" customHeight="1">
      <c r="A722" s="51"/>
      <c r="B722" s="51"/>
      <c r="C722" s="51"/>
      <c r="D722" s="51"/>
      <c r="E722" s="51"/>
      <c r="F722" s="54"/>
      <c r="G722" s="54"/>
      <c r="H722" s="54"/>
      <c r="I722" s="54"/>
      <c r="J722" s="54"/>
      <c r="K722" s="51"/>
      <c r="L722" s="51"/>
      <c r="M722" s="51"/>
      <c r="N722" s="51"/>
      <c r="O722" s="54"/>
      <c r="P722" s="42"/>
      <c r="Q722" s="75"/>
    </row>
    <row r="723" spans="1:17" ht="102.75" customHeight="1">
      <c r="A723" s="86" t="s">
        <v>151</v>
      </c>
      <c r="B723" s="177" t="s">
        <v>152</v>
      </c>
      <c r="C723" s="178"/>
      <c r="D723" s="179"/>
      <c r="E723" s="84" t="s">
        <v>164</v>
      </c>
      <c r="F723" s="177" t="s">
        <v>323</v>
      </c>
      <c r="G723" s="179"/>
      <c r="H723" s="84" t="s">
        <v>174</v>
      </c>
      <c r="I723" s="51"/>
      <c r="J723" s="51"/>
      <c r="K723" s="51"/>
      <c r="L723" s="54"/>
      <c r="M723" s="42"/>
      <c r="N723" s="113"/>
      <c r="O723" s="113"/>
      <c r="P723" s="75"/>
      <c r="Q723" s="75"/>
    </row>
    <row r="724" spans="1:17" ht="18" customHeight="1">
      <c r="A724" s="85">
        <v>1</v>
      </c>
      <c r="B724" s="170">
        <v>2</v>
      </c>
      <c r="C724" s="172"/>
      <c r="D724" s="171"/>
      <c r="E724" s="85">
        <v>3</v>
      </c>
      <c r="F724" s="170">
        <v>4</v>
      </c>
      <c r="G724" s="171"/>
      <c r="H724" s="85">
        <v>5</v>
      </c>
      <c r="I724" s="51"/>
      <c r="J724" s="51"/>
      <c r="K724" s="51"/>
      <c r="L724" s="54"/>
      <c r="M724" s="42"/>
      <c r="N724" s="113"/>
      <c r="O724" s="113"/>
      <c r="P724" s="75"/>
      <c r="Q724" s="75"/>
    </row>
    <row r="725" spans="1:17" ht="177.75" customHeight="1">
      <c r="A725" s="86">
        <v>1</v>
      </c>
      <c r="B725" s="167" t="s">
        <v>349</v>
      </c>
      <c r="C725" s="168"/>
      <c r="D725" s="169"/>
      <c r="E725" s="86">
        <v>226</v>
      </c>
      <c r="F725" s="170">
        <v>1</v>
      </c>
      <c r="G725" s="171"/>
      <c r="H725" s="87">
        <f>123360+31900</f>
        <v>155260</v>
      </c>
      <c r="I725" s="51"/>
      <c r="J725" s="51"/>
      <c r="K725" s="51"/>
      <c r="L725" s="54"/>
      <c r="M725" s="42"/>
      <c r="N725" s="113"/>
      <c r="O725" s="113"/>
      <c r="P725" s="75"/>
      <c r="Q725" s="75"/>
    </row>
    <row r="726" spans="1:17" ht="18" customHeight="1">
      <c r="A726" s="86"/>
      <c r="B726" s="170" t="s">
        <v>130</v>
      </c>
      <c r="C726" s="172"/>
      <c r="D726" s="171"/>
      <c r="E726" s="86"/>
      <c r="F726" s="170" t="s">
        <v>168</v>
      </c>
      <c r="G726" s="171"/>
      <c r="H726" s="104">
        <f>SUM(H725:H725)</f>
        <v>155260</v>
      </c>
      <c r="I726" s="51"/>
      <c r="J726" s="51"/>
      <c r="K726" s="51"/>
      <c r="L726" s="54"/>
      <c r="M726" s="42"/>
      <c r="N726" s="113"/>
      <c r="O726" s="113"/>
      <c r="P726" s="75"/>
      <c r="Q726" s="75"/>
    </row>
    <row r="727" spans="1:17" ht="18" customHeight="1">
      <c r="A727" s="82"/>
      <c r="B727" s="107"/>
      <c r="C727" s="107"/>
      <c r="D727" s="107"/>
      <c r="E727" s="82"/>
      <c r="F727" s="108"/>
      <c r="G727" s="108"/>
      <c r="H727" s="108"/>
      <c r="I727" s="108"/>
      <c r="J727" s="82"/>
      <c r="K727" s="109"/>
      <c r="L727" s="51"/>
      <c r="M727" s="51"/>
      <c r="N727" s="51"/>
      <c r="O727" s="54"/>
      <c r="P727" s="42"/>
      <c r="Q727" s="75"/>
    </row>
    <row r="728" spans="1:17" ht="18" customHeight="1">
      <c r="A728" s="51"/>
      <c r="B728" s="51" t="s">
        <v>465</v>
      </c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2"/>
      <c r="P728" s="80"/>
      <c r="Q728" s="75"/>
    </row>
    <row r="729" spans="1:17" ht="18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2"/>
      <c r="P729" s="80"/>
      <c r="Q729" s="75"/>
    </row>
    <row r="730" spans="1:17" ht="18" customHeight="1">
      <c r="A730" s="158" t="s">
        <v>151</v>
      </c>
      <c r="B730" s="192" t="s">
        <v>0</v>
      </c>
      <c r="C730" s="193"/>
      <c r="D730" s="193"/>
      <c r="E730" s="193"/>
      <c r="F730" s="194"/>
      <c r="G730" s="187" t="s">
        <v>153</v>
      </c>
      <c r="H730" s="187"/>
      <c r="I730" s="187" t="s">
        <v>360</v>
      </c>
      <c r="J730" s="187"/>
      <c r="K730" s="92"/>
      <c r="L730" s="92"/>
      <c r="M730" s="92"/>
      <c r="N730" s="93"/>
      <c r="O730" s="138"/>
      <c r="P730" s="75" t="s">
        <v>285</v>
      </c>
      <c r="Q730" s="75"/>
    </row>
    <row r="731" spans="1:17" ht="18" customHeight="1">
      <c r="A731" s="148">
        <v>1</v>
      </c>
      <c r="B731" s="173">
        <v>2</v>
      </c>
      <c r="C731" s="174"/>
      <c r="D731" s="174"/>
      <c r="E731" s="174"/>
      <c r="F731" s="175"/>
      <c r="G731" s="176">
        <v>3</v>
      </c>
      <c r="H731" s="176"/>
      <c r="I731" s="176">
        <v>4</v>
      </c>
      <c r="J731" s="176"/>
      <c r="K731" s="157"/>
      <c r="L731" s="157"/>
      <c r="M731" s="157"/>
      <c r="N731" s="60"/>
      <c r="O731" s="43"/>
      <c r="P731" s="80"/>
      <c r="Q731" s="75"/>
    </row>
    <row r="732" spans="1:17" ht="110.25" customHeight="1">
      <c r="A732" s="47">
        <v>1</v>
      </c>
      <c r="B732" s="182" t="s">
        <v>467</v>
      </c>
      <c r="C732" s="183"/>
      <c r="D732" s="183"/>
      <c r="E732" s="183"/>
      <c r="F732" s="184"/>
      <c r="G732" s="176">
        <v>310</v>
      </c>
      <c r="H732" s="176"/>
      <c r="I732" s="197">
        <f>250000</f>
        <v>250000</v>
      </c>
      <c r="J732" s="197"/>
      <c r="K732" s="51"/>
      <c r="L732" s="51"/>
      <c r="M732" s="51"/>
      <c r="N732" s="52"/>
      <c r="O732" s="42"/>
      <c r="P732" s="91">
        <v>250000</v>
      </c>
      <c r="Q732" s="75"/>
    </row>
    <row r="733" spans="1:17" ht="110.25" customHeight="1">
      <c r="A733" s="47">
        <v>2</v>
      </c>
      <c r="B733" s="182" t="s">
        <v>464</v>
      </c>
      <c r="C733" s="183"/>
      <c r="D733" s="183"/>
      <c r="E733" s="183"/>
      <c r="F733" s="184"/>
      <c r="G733" s="176">
        <v>344</v>
      </c>
      <c r="H733" s="176"/>
      <c r="I733" s="197">
        <f>250000</f>
        <v>250000</v>
      </c>
      <c r="J733" s="197"/>
      <c r="K733" s="51"/>
      <c r="L733" s="51"/>
      <c r="M733" s="51"/>
      <c r="N733" s="52"/>
      <c r="O733" s="42"/>
      <c r="P733" s="91">
        <v>250000</v>
      </c>
      <c r="Q733" s="75"/>
    </row>
    <row r="734" spans="1:17" ht="18" customHeight="1">
      <c r="A734" s="47"/>
      <c r="B734" s="198" t="s">
        <v>130</v>
      </c>
      <c r="C734" s="199"/>
      <c r="D734" s="199"/>
      <c r="E734" s="199"/>
      <c r="F734" s="200"/>
      <c r="G734" s="176"/>
      <c r="H734" s="176"/>
      <c r="I734" s="197">
        <f>SUM(I732:J733)</f>
        <v>500000</v>
      </c>
      <c r="J734" s="197"/>
      <c r="K734" s="51"/>
      <c r="L734" s="51"/>
      <c r="M734" s="51"/>
      <c r="N734" s="52"/>
      <c r="O734" s="45"/>
      <c r="P734" s="80"/>
      <c r="Q734" s="75"/>
    </row>
    <row r="735" spans="1:17" ht="18" customHeight="1">
      <c r="A735" s="82"/>
      <c r="B735" s="107"/>
      <c r="C735" s="107"/>
      <c r="D735" s="107"/>
      <c r="E735" s="82"/>
      <c r="F735" s="108"/>
      <c r="G735" s="108"/>
      <c r="H735" s="108"/>
      <c r="I735" s="108"/>
      <c r="J735" s="82"/>
      <c r="K735" s="109"/>
      <c r="L735" s="51"/>
      <c r="M735" s="51"/>
      <c r="N735" s="51"/>
      <c r="O735" s="54"/>
      <c r="P735" s="42"/>
      <c r="Q735" s="75"/>
    </row>
    <row r="736" spans="1:17" ht="18" customHeight="1">
      <c r="A736" s="51"/>
      <c r="B736" s="83" t="s">
        <v>426</v>
      </c>
      <c r="C736" s="83"/>
      <c r="D736" s="83"/>
      <c r="E736" s="83"/>
      <c r="F736" s="83"/>
      <c r="G736" s="83"/>
      <c r="H736" s="83"/>
      <c r="I736" s="83"/>
      <c r="J736" s="54"/>
      <c r="K736" s="51"/>
      <c r="L736" s="51"/>
      <c r="M736" s="51"/>
      <c r="N736" s="51"/>
      <c r="O736" s="54"/>
      <c r="P736" s="42"/>
      <c r="Q736" s="75"/>
    </row>
    <row r="737" spans="1:17" ht="18" customHeight="1">
      <c r="A737" s="51"/>
      <c r="B737" s="51"/>
      <c r="C737" s="51"/>
      <c r="D737" s="51"/>
      <c r="E737" s="51"/>
      <c r="F737" s="54"/>
      <c r="G737" s="54"/>
      <c r="H737" s="54"/>
      <c r="I737" s="54"/>
      <c r="J737" s="54"/>
      <c r="K737" s="51"/>
      <c r="L737" s="51"/>
      <c r="M737" s="51"/>
      <c r="N737" s="51"/>
      <c r="O737" s="54"/>
      <c r="P737" s="42"/>
      <c r="Q737" s="75"/>
    </row>
    <row r="738" spans="1:17" ht="100.5" customHeight="1">
      <c r="A738" s="86" t="s">
        <v>151</v>
      </c>
      <c r="B738" s="177" t="s">
        <v>152</v>
      </c>
      <c r="C738" s="178"/>
      <c r="D738" s="179"/>
      <c r="E738" s="84" t="s">
        <v>164</v>
      </c>
      <c r="F738" s="177" t="s">
        <v>266</v>
      </c>
      <c r="G738" s="179"/>
      <c r="H738" s="177" t="s">
        <v>247</v>
      </c>
      <c r="I738" s="179"/>
      <c r="J738" s="84" t="s">
        <v>174</v>
      </c>
      <c r="K738" s="51"/>
      <c r="L738" s="51"/>
      <c r="M738" s="51"/>
      <c r="N738" s="51"/>
      <c r="O738" s="54"/>
      <c r="P738" s="42"/>
      <c r="Q738" s="75"/>
    </row>
    <row r="739" spans="1:17" ht="18" customHeight="1">
      <c r="A739" s="85">
        <v>1</v>
      </c>
      <c r="B739" s="170">
        <v>2</v>
      </c>
      <c r="C739" s="172"/>
      <c r="D739" s="171"/>
      <c r="E739" s="85">
        <v>3</v>
      </c>
      <c r="F739" s="170">
        <v>4</v>
      </c>
      <c r="G739" s="171"/>
      <c r="H739" s="170">
        <v>5</v>
      </c>
      <c r="I739" s="171"/>
      <c r="J739" s="85">
        <v>6</v>
      </c>
      <c r="K739" s="51"/>
      <c r="L739" s="51"/>
      <c r="M739" s="51"/>
      <c r="N739" s="51"/>
      <c r="O739" s="54"/>
      <c r="P739" s="42"/>
      <c r="Q739" s="75"/>
    </row>
    <row r="740" spans="1:17" ht="98.25" customHeight="1">
      <c r="A740" s="86">
        <v>1</v>
      </c>
      <c r="B740" s="167" t="s">
        <v>288</v>
      </c>
      <c r="C740" s="168"/>
      <c r="D740" s="169"/>
      <c r="E740" s="86">
        <v>226</v>
      </c>
      <c r="F740" s="170">
        <v>1</v>
      </c>
      <c r="G740" s="171"/>
      <c r="H740" s="195">
        <f aca="true" t="shared" si="6" ref="H740:H746">J740/F740</f>
        <v>394664.75</v>
      </c>
      <c r="I740" s="196"/>
      <c r="J740" s="87">
        <f>9738.16+155600+276300-46973.41+38073.41-38073.41</f>
        <v>394664.75</v>
      </c>
      <c r="K740" s="103"/>
      <c r="L740" s="51"/>
      <c r="M740" s="51"/>
      <c r="N740" s="51"/>
      <c r="O740" s="54"/>
      <c r="P740" s="42"/>
      <c r="Q740" s="75"/>
    </row>
    <row r="741" spans="1:17" ht="24" customHeight="1">
      <c r="A741" s="86">
        <v>2</v>
      </c>
      <c r="B741" s="167" t="s">
        <v>264</v>
      </c>
      <c r="C741" s="168"/>
      <c r="D741" s="169"/>
      <c r="E741" s="86">
        <v>310</v>
      </c>
      <c r="F741" s="170">
        <v>2</v>
      </c>
      <c r="G741" s="171"/>
      <c r="H741" s="195">
        <f t="shared" si="6"/>
        <v>39612</v>
      </c>
      <c r="I741" s="196"/>
      <c r="J741" s="87">
        <f>50500-9349.41+38073.41</f>
        <v>79224</v>
      </c>
      <c r="K741" s="103"/>
      <c r="L741" s="103"/>
      <c r="M741" s="51"/>
      <c r="N741" s="103"/>
      <c r="O741" s="61"/>
      <c r="P741" s="42"/>
      <c r="Q741" s="75">
        <f>41150.59+38073.41</f>
        <v>79224</v>
      </c>
    </row>
    <row r="742" spans="1:17" ht="24" customHeight="1">
      <c r="A742" s="86">
        <v>3</v>
      </c>
      <c r="B742" s="167" t="s">
        <v>470</v>
      </c>
      <c r="C742" s="168"/>
      <c r="D742" s="169"/>
      <c r="E742" s="86">
        <v>346</v>
      </c>
      <c r="F742" s="170">
        <v>256</v>
      </c>
      <c r="G742" s="171"/>
      <c r="H742" s="195">
        <f t="shared" si="6"/>
        <v>107.421875</v>
      </c>
      <c r="I742" s="196"/>
      <c r="J742" s="87">
        <f>30000+46973.41-11400-9349.41-28724</f>
        <v>27500</v>
      </c>
      <c r="K742" s="103"/>
      <c r="L742" s="103"/>
      <c r="M742" s="51"/>
      <c r="N742" s="103"/>
      <c r="O742" s="61"/>
      <c r="P742" s="42"/>
      <c r="Q742" s="75"/>
    </row>
    <row r="743" spans="1:17" ht="24" customHeight="1">
      <c r="A743" s="86">
        <v>4</v>
      </c>
      <c r="B743" s="167" t="s">
        <v>473</v>
      </c>
      <c r="C743" s="168"/>
      <c r="D743" s="169"/>
      <c r="E743" s="86">
        <v>346</v>
      </c>
      <c r="F743" s="170">
        <v>6</v>
      </c>
      <c r="G743" s="171"/>
      <c r="H743" s="195">
        <f t="shared" si="6"/>
        <v>1900</v>
      </c>
      <c r="I743" s="196"/>
      <c r="J743" s="87">
        <f>11400</f>
        <v>11400</v>
      </c>
      <c r="K743" s="103"/>
      <c r="L743" s="103"/>
      <c r="M743" s="51"/>
      <c r="N743" s="103"/>
      <c r="O743" s="61"/>
      <c r="P743" s="42"/>
      <c r="Q743" s="75"/>
    </row>
    <row r="744" spans="1:17" ht="24" customHeight="1">
      <c r="A744" s="86">
        <v>5</v>
      </c>
      <c r="B744" s="167" t="s">
        <v>475</v>
      </c>
      <c r="C744" s="168"/>
      <c r="D744" s="169"/>
      <c r="E744" s="86">
        <v>346</v>
      </c>
      <c r="F744" s="170">
        <v>4</v>
      </c>
      <c r="G744" s="171"/>
      <c r="H744" s="195">
        <f t="shared" si="6"/>
        <v>1900</v>
      </c>
      <c r="I744" s="196"/>
      <c r="J744" s="87">
        <f>7600</f>
        <v>7600</v>
      </c>
      <c r="K744" s="103"/>
      <c r="L744" s="103"/>
      <c r="M744" s="51"/>
      <c r="N744" s="103"/>
      <c r="O744" s="61"/>
      <c r="P744" s="42"/>
      <c r="Q744" s="75"/>
    </row>
    <row r="745" spans="1:17" ht="24" customHeight="1">
      <c r="A745" s="86">
        <v>6</v>
      </c>
      <c r="B745" s="167" t="s">
        <v>476</v>
      </c>
      <c r="C745" s="168"/>
      <c r="D745" s="169"/>
      <c r="E745" s="86">
        <v>346</v>
      </c>
      <c r="F745" s="170">
        <v>2</v>
      </c>
      <c r="G745" s="171"/>
      <c r="H745" s="195">
        <f t="shared" si="6"/>
        <v>500</v>
      </c>
      <c r="I745" s="196"/>
      <c r="J745" s="87">
        <f>1000</f>
        <v>1000</v>
      </c>
      <c r="K745" s="103"/>
      <c r="L745" s="103"/>
      <c r="M745" s="51"/>
      <c r="N745" s="103"/>
      <c r="O745" s="61"/>
      <c r="P745" s="42"/>
      <c r="Q745" s="75"/>
    </row>
    <row r="746" spans="1:17" ht="24" customHeight="1">
      <c r="A746" s="86">
        <v>7</v>
      </c>
      <c r="B746" s="167" t="s">
        <v>476</v>
      </c>
      <c r="C746" s="168"/>
      <c r="D746" s="169"/>
      <c r="E746" s="86">
        <v>346</v>
      </c>
      <c r="F746" s="170">
        <v>1</v>
      </c>
      <c r="G746" s="171"/>
      <c r="H746" s="195">
        <f t="shared" si="6"/>
        <v>749.41</v>
      </c>
      <c r="I746" s="196"/>
      <c r="J746" s="87">
        <f>749.41</f>
        <v>749.41</v>
      </c>
      <c r="K746" s="103"/>
      <c r="L746" s="103"/>
      <c r="M746" s="51"/>
      <c r="N746" s="103"/>
      <c r="O746" s="61"/>
      <c r="P746" s="42"/>
      <c r="Q746" s="75"/>
    </row>
    <row r="747" spans="1:17" ht="18" customHeight="1">
      <c r="A747" s="86"/>
      <c r="B747" s="170" t="s">
        <v>130</v>
      </c>
      <c r="C747" s="172"/>
      <c r="D747" s="171"/>
      <c r="E747" s="86"/>
      <c r="F747" s="170" t="s">
        <v>168</v>
      </c>
      <c r="G747" s="171"/>
      <c r="H747" s="170" t="s">
        <v>168</v>
      </c>
      <c r="I747" s="171"/>
      <c r="J747" s="104">
        <f>SUM(J740:J746)</f>
        <v>522138.16</v>
      </c>
      <c r="K747" s="51"/>
      <c r="L747" s="51"/>
      <c r="M747" s="51"/>
      <c r="N747" s="51"/>
      <c r="O747" s="54"/>
      <c r="P747" s="42"/>
      <c r="Q747" s="75"/>
    </row>
    <row r="748" spans="1:17" ht="18" customHeight="1">
      <c r="A748" s="82"/>
      <c r="B748" s="108"/>
      <c r="C748" s="108"/>
      <c r="D748" s="108"/>
      <c r="E748" s="82"/>
      <c r="F748" s="108"/>
      <c r="G748" s="108"/>
      <c r="H748" s="108"/>
      <c r="I748" s="108"/>
      <c r="J748" s="109"/>
      <c r="K748" s="51"/>
      <c r="L748" s="51"/>
      <c r="M748" s="51"/>
      <c r="N748" s="51"/>
      <c r="O748" s="54"/>
      <c r="P748" s="42"/>
      <c r="Q748" s="75"/>
    </row>
    <row r="749" spans="1:17" ht="18" customHeight="1">
      <c r="A749" s="34"/>
      <c r="B749" s="51" t="s">
        <v>351</v>
      </c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2"/>
      <c r="P749" s="42"/>
      <c r="Q749" s="75"/>
    </row>
    <row r="750" spans="1:17" ht="18" customHeight="1">
      <c r="A750" s="34"/>
      <c r="B750" s="51" t="s">
        <v>176</v>
      </c>
      <c r="C750" s="51"/>
      <c r="D750" s="110">
        <v>321</v>
      </c>
      <c r="E750" s="110"/>
      <c r="F750" s="110"/>
      <c r="G750" s="54"/>
      <c r="H750" s="51"/>
      <c r="I750" s="51"/>
      <c r="J750" s="51"/>
      <c r="K750" s="51"/>
      <c r="L750" s="51"/>
      <c r="M750" s="51"/>
      <c r="N750" s="51"/>
      <c r="O750" s="52"/>
      <c r="P750" s="42"/>
      <c r="Q750" s="75"/>
    </row>
    <row r="751" spans="1:17" ht="18" customHeight="1">
      <c r="A751" s="34"/>
      <c r="B751" s="51" t="s">
        <v>149</v>
      </c>
      <c r="C751" s="51"/>
      <c r="D751" s="34"/>
      <c r="E751" s="111" t="s">
        <v>219</v>
      </c>
      <c r="F751" s="112"/>
      <c r="G751" s="54"/>
      <c r="H751" s="51"/>
      <c r="I751" s="51"/>
      <c r="J751" s="51"/>
      <c r="K751" s="51"/>
      <c r="L751" s="51"/>
      <c r="M751" s="51"/>
      <c r="N751" s="51"/>
      <c r="O751" s="52"/>
      <c r="P751" s="42"/>
      <c r="Q751" s="75"/>
    </row>
    <row r="752" spans="1:17" ht="18" customHeight="1">
      <c r="A752" s="34"/>
      <c r="B752" s="51"/>
      <c r="C752" s="51"/>
      <c r="D752" s="34"/>
      <c r="E752" s="82"/>
      <c r="F752" s="54"/>
      <c r="G752" s="54"/>
      <c r="H752" s="51"/>
      <c r="I752" s="51"/>
      <c r="J752" s="51"/>
      <c r="K752" s="51"/>
      <c r="L752" s="51"/>
      <c r="M752" s="51"/>
      <c r="N752" s="51"/>
      <c r="O752" s="52"/>
      <c r="P752" s="42"/>
      <c r="Q752" s="75"/>
    </row>
    <row r="753" spans="1:17" ht="18" customHeight="1">
      <c r="A753" s="34"/>
      <c r="B753" s="55" t="s">
        <v>427</v>
      </c>
      <c r="C753" s="56"/>
      <c r="D753" s="56"/>
      <c r="E753" s="56"/>
      <c r="F753" s="56"/>
      <c r="G753" s="56"/>
      <c r="H753" s="56"/>
      <c r="I753" s="56"/>
      <c r="J753" s="56"/>
      <c r="K753" s="56"/>
      <c r="L753" s="51"/>
      <c r="M753" s="51"/>
      <c r="N753" s="51"/>
      <c r="O753" s="52"/>
      <c r="P753" s="42"/>
      <c r="Q753" s="75"/>
    </row>
    <row r="754" spans="1:17" ht="18" customHeight="1">
      <c r="A754" s="34"/>
      <c r="B754" s="51"/>
      <c r="C754" s="51"/>
      <c r="D754" s="34"/>
      <c r="E754" s="82"/>
      <c r="F754" s="54"/>
      <c r="G754" s="54"/>
      <c r="H754" s="51"/>
      <c r="I754" s="51"/>
      <c r="J754" s="51"/>
      <c r="K754" s="51"/>
      <c r="L754" s="51"/>
      <c r="M754" s="51"/>
      <c r="N754" s="51"/>
      <c r="O754" s="52"/>
      <c r="P754" s="42"/>
      <c r="Q754" s="75"/>
    </row>
    <row r="755" spans="1:17" ht="102.75" customHeight="1">
      <c r="A755" s="86" t="s">
        <v>151</v>
      </c>
      <c r="B755" s="177" t="s">
        <v>152</v>
      </c>
      <c r="C755" s="178"/>
      <c r="D755" s="179"/>
      <c r="E755" s="84" t="s">
        <v>164</v>
      </c>
      <c r="F755" s="177" t="s">
        <v>323</v>
      </c>
      <c r="G755" s="179"/>
      <c r="H755" s="84" t="s">
        <v>174</v>
      </c>
      <c r="I755" s="51"/>
      <c r="J755" s="51"/>
      <c r="K755" s="51"/>
      <c r="L755" s="51"/>
      <c r="M755" s="52"/>
      <c r="N755" s="42"/>
      <c r="O755" s="113"/>
      <c r="P755" s="75"/>
      <c r="Q755" s="75"/>
    </row>
    <row r="756" spans="1:17" ht="18" customHeight="1">
      <c r="A756" s="85">
        <v>1</v>
      </c>
      <c r="B756" s="170">
        <v>2</v>
      </c>
      <c r="C756" s="172"/>
      <c r="D756" s="171"/>
      <c r="E756" s="85">
        <v>3</v>
      </c>
      <c r="F756" s="170">
        <v>4</v>
      </c>
      <c r="G756" s="171"/>
      <c r="H756" s="85">
        <v>7</v>
      </c>
      <c r="I756" s="51"/>
      <c r="J756" s="51"/>
      <c r="K756" s="51"/>
      <c r="L756" s="51"/>
      <c r="M756" s="52"/>
      <c r="N756" s="42"/>
      <c r="O756" s="113"/>
      <c r="P756" s="75">
        <f>O757</f>
        <v>0</v>
      </c>
      <c r="Q756" s="75"/>
    </row>
    <row r="757" spans="1:17" ht="99" customHeight="1">
      <c r="A757" s="86">
        <v>1</v>
      </c>
      <c r="B757" s="167" t="s">
        <v>322</v>
      </c>
      <c r="C757" s="168"/>
      <c r="D757" s="169"/>
      <c r="E757" s="86">
        <v>262</v>
      </c>
      <c r="F757" s="170">
        <v>1</v>
      </c>
      <c r="G757" s="171"/>
      <c r="H757" s="87">
        <f>114051.15-2714.48</f>
        <v>111336.67</v>
      </c>
      <c r="I757" s="51"/>
      <c r="J757" s="51"/>
      <c r="K757" s="103"/>
      <c r="L757" s="51"/>
      <c r="M757" s="52"/>
      <c r="N757" s="42"/>
      <c r="O757" s="113"/>
      <c r="P757" s="75">
        <f>H757-O757</f>
        <v>111336.67</v>
      </c>
      <c r="Q757" s="75"/>
    </row>
    <row r="758" spans="1:17" ht="18" customHeight="1">
      <c r="A758" s="86"/>
      <c r="B758" s="170" t="s">
        <v>130</v>
      </c>
      <c r="C758" s="172"/>
      <c r="D758" s="171"/>
      <c r="E758" s="86"/>
      <c r="F758" s="170" t="s">
        <v>168</v>
      </c>
      <c r="G758" s="171"/>
      <c r="H758" s="104">
        <f>SUM(H757:H757)</f>
        <v>111336.67</v>
      </c>
      <c r="I758" s="51"/>
      <c r="J758" s="51"/>
      <c r="K758" s="51"/>
      <c r="L758" s="51"/>
      <c r="M758" s="52"/>
      <c r="N758" s="42"/>
      <c r="O758" s="113"/>
      <c r="P758" s="75"/>
      <c r="Q758" s="75"/>
    </row>
    <row r="759" spans="1:17" ht="18" customHeight="1">
      <c r="A759" s="82"/>
      <c r="B759" s="108"/>
      <c r="C759" s="108"/>
      <c r="D759" s="108"/>
      <c r="E759" s="82"/>
      <c r="F759" s="108"/>
      <c r="G759" s="108"/>
      <c r="H759" s="108"/>
      <c r="I759" s="108"/>
      <c r="J759" s="109"/>
      <c r="K759" s="51"/>
      <c r="L759" s="51"/>
      <c r="M759" s="51"/>
      <c r="N759" s="51"/>
      <c r="O759" s="54"/>
      <c r="P759" s="42"/>
      <c r="Q759" s="75"/>
    </row>
    <row r="760" spans="1:17" ht="18" customHeight="1">
      <c r="A760" s="1"/>
      <c r="B760" s="123" t="s">
        <v>352</v>
      </c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51"/>
      <c r="N760" s="39"/>
      <c r="O760" s="130"/>
      <c r="P760" s="42"/>
      <c r="Q760" s="75"/>
    </row>
    <row r="761" spans="1:17" ht="18" customHeight="1">
      <c r="A761" s="1"/>
      <c r="B761" s="131" t="s">
        <v>176</v>
      </c>
      <c r="C761" s="131"/>
      <c r="D761" s="132">
        <v>243</v>
      </c>
      <c r="E761" s="132"/>
      <c r="F761" s="131"/>
      <c r="G761" s="131"/>
      <c r="H761" s="83"/>
      <c r="I761" s="83"/>
      <c r="J761" s="83"/>
      <c r="K761" s="127"/>
      <c r="L761" s="127"/>
      <c r="M761" s="51"/>
      <c r="N761" s="39"/>
      <c r="O761" s="130"/>
      <c r="P761" s="42"/>
      <c r="Q761" s="75"/>
    </row>
    <row r="762" spans="1:17" ht="18" customHeight="1">
      <c r="A762" s="1"/>
      <c r="B762" s="83" t="s">
        <v>149</v>
      </c>
      <c r="C762" s="83"/>
      <c r="D762" s="111"/>
      <c r="E762" s="111" t="s">
        <v>219</v>
      </c>
      <c r="F762" s="111"/>
      <c r="G762" s="111"/>
      <c r="H762" s="83"/>
      <c r="I762" s="83"/>
      <c r="J762" s="83"/>
      <c r="K762" s="127"/>
      <c r="L762" s="127"/>
      <c r="M762" s="51"/>
      <c r="N762" s="39"/>
      <c r="O762" s="130"/>
      <c r="P762" s="42"/>
      <c r="Q762" s="75"/>
    </row>
    <row r="763" spans="1:17" ht="18" customHeight="1">
      <c r="A763" s="133"/>
      <c r="B763" s="127"/>
      <c r="C763" s="128"/>
      <c r="D763" s="128"/>
      <c r="E763" s="128"/>
      <c r="F763" s="128"/>
      <c r="G763" s="127"/>
      <c r="H763" s="127"/>
      <c r="I763" s="127"/>
      <c r="J763" s="127"/>
      <c r="K763" s="127"/>
      <c r="L763" s="127"/>
      <c r="M763" s="51"/>
      <c r="N763" s="39"/>
      <c r="O763" s="130"/>
      <c r="P763" s="42"/>
      <c r="Q763" s="75"/>
    </row>
    <row r="764" spans="1:17" ht="18" customHeight="1">
      <c r="A764" s="127"/>
      <c r="B764" s="123" t="s">
        <v>428</v>
      </c>
      <c r="C764" s="123"/>
      <c r="D764" s="123"/>
      <c r="E764" s="123"/>
      <c r="F764" s="123"/>
      <c r="G764" s="123"/>
      <c r="H764" s="123"/>
      <c r="I764" s="123"/>
      <c r="J764" s="123"/>
      <c r="K764" s="123"/>
      <c r="L764" s="127"/>
      <c r="M764" s="51"/>
      <c r="N764" s="51"/>
      <c r="O764" s="52"/>
      <c r="P764" s="1"/>
      <c r="Q764" s="75"/>
    </row>
    <row r="765" spans="1:17" ht="18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2"/>
      <c r="P765" s="1"/>
      <c r="Q765" s="75"/>
    </row>
    <row r="766" spans="1:17" ht="54" customHeight="1">
      <c r="A766" s="158" t="s">
        <v>151</v>
      </c>
      <c r="B766" s="192" t="s">
        <v>0</v>
      </c>
      <c r="C766" s="193"/>
      <c r="D766" s="193"/>
      <c r="E766" s="193"/>
      <c r="F766" s="194"/>
      <c r="G766" s="192" t="s">
        <v>153</v>
      </c>
      <c r="H766" s="194"/>
      <c r="I766" s="146" t="s">
        <v>182</v>
      </c>
      <c r="J766" s="151" t="s">
        <v>183</v>
      </c>
      <c r="K766" s="192" t="s">
        <v>184</v>
      </c>
      <c r="L766" s="194"/>
      <c r="M766" s="92"/>
      <c r="N766" s="92"/>
      <c r="O766" s="92"/>
      <c r="P766" s="92"/>
      <c r="Q766" s="75"/>
    </row>
    <row r="767" spans="1:17" ht="18" customHeight="1">
      <c r="A767" s="148">
        <v>1</v>
      </c>
      <c r="B767" s="173">
        <v>2</v>
      </c>
      <c r="C767" s="174"/>
      <c r="D767" s="174"/>
      <c r="E767" s="174"/>
      <c r="F767" s="175"/>
      <c r="G767" s="173">
        <v>3</v>
      </c>
      <c r="H767" s="175"/>
      <c r="I767" s="134">
        <v>4</v>
      </c>
      <c r="J767" s="148">
        <v>5</v>
      </c>
      <c r="K767" s="173">
        <v>6</v>
      </c>
      <c r="L767" s="175"/>
      <c r="M767" s="51"/>
      <c r="N767" s="51"/>
      <c r="O767" s="51"/>
      <c r="P767" s="51"/>
      <c r="Q767" s="75"/>
    </row>
    <row r="768" spans="1:17" ht="113.25" customHeight="1">
      <c r="A768" s="47">
        <v>1</v>
      </c>
      <c r="B768" s="182" t="s">
        <v>462</v>
      </c>
      <c r="C768" s="183"/>
      <c r="D768" s="183"/>
      <c r="E768" s="183"/>
      <c r="F768" s="184"/>
      <c r="G768" s="173">
        <v>225</v>
      </c>
      <c r="H768" s="175"/>
      <c r="I768" s="145" t="s">
        <v>207</v>
      </c>
      <c r="J768" s="148">
        <v>1</v>
      </c>
      <c r="K768" s="190">
        <f>2038700+435300-397700+48607.68</f>
        <v>2124907.68</v>
      </c>
      <c r="L768" s="191"/>
      <c r="M768" s="51"/>
      <c r="N768" s="51"/>
      <c r="O768" s="51"/>
      <c r="P768" s="136">
        <v>677859.15</v>
      </c>
      <c r="Q768" s="75"/>
    </row>
    <row r="769" spans="1:17" ht="18" customHeight="1">
      <c r="A769" s="47"/>
      <c r="B769" s="182" t="s">
        <v>130</v>
      </c>
      <c r="C769" s="183"/>
      <c r="D769" s="183"/>
      <c r="E769" s="183"/>
      <c r="F769" s="184"/>
      <c r="G769" s="173"/>
      <c r="H769" s="175"/>
      <c r="I769" s="134"/>
      <c r="J769" s="148"/>
      <c r="K769" s="190">
        <f>K768</f>
        <v>2124907.68</v>
      </c>
      <c r="L769" s="191"/>
      <c r="M769" s="51"/>
      <c r="N769" s="51"/>
      <c r="O769" s="51"/>
      <c r="P769" s="51"/>
      <c r="Q769" s="75"/>
    </row>
    <row r="770" spans="1:17" ht="18" customHeight="1">
      <c r="A770" s="133"/>
      <c r="B770" s="127"/>
      <c r="C770" s="128"/>
      <c r="D770" s="128"/>
      <c r="E770" s="128"/>
      <c r="F770" s="128"/>
      <c r="G770" s="127"/>
      <c r="H770" s="127"/>
      <c r="I770" s="127"/>
      <c r="J770" s="127"/>
      <c r="K770" s="127"/>
      <c r="L770" s="127"/>
      <c r="M770" s="51"/>
      <c r="N770" s="39"/>
      <c r="O770" s="130"/>
      <c r="P770" s="42"/>
      <c r="Q770" s="75"/>
    </row>
    <row r="771" spans="1:17" ht="18" customHeight="1">
      <c r="A771" s="127"/>
      <c r="B771" s="123" t="s">
        <v>429</v>
      </c>
      <c r="C771" s="123"/>
      <c r="D771" s="123"/>
      <c r="E771" s="123"/>
      <c r="F771" s="123"/>
      <c r="G771" s="123"/>
      <c r="H771" s="123"/>
      <c r="I771" s="123"/>
      <c r="J771" s="123"/>
      <c r="K771" s="123"/>
      <c r="L771" s="127"/>
      <c r="M771" s="51"/>
      <c r="N771" s="51"/>
      <c r="O771" s="54"/>
      <c r="P771" s="75"/>
      <c r="Q771" s="75"/>
    </row>
    <row r="772" spans="1:17" ht="18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4"/>
      <c r="P772" s="75"/>
      <c r="Q772" s="75"/>
    </row>
    <row r="773" spans="1:17" s="142" customFormat="1" ht="58.5" customHeight="1">
      <c r="A773" s="158" t="s">
        <v>151</v>
      </c>
      <c r="B773" s="187" t="s">
        <v>0</v>
      </c>
      <c r="C773" s="187"/>
      <c r="D773" s="187"/>
      <c r="E773" s="187" t="s">
        <v>164</v>
      </c>
      <c r="F773" s="187"/>
      <c r="G773" s="187" t="s">
        <v>182</v>
      </c>
      <c r="H773" s="187"/>
      <c r="I773" s="151" t="s">
        <v>183</v>
      </c>
      <c r="J773" s="151" t="s">
        <v>184</v>
      </c>
      <c r="K773" s="92"/>
      <c r="L773" s="92"/>
      <c r="M773" s="92"/>
      <c r="N773" s="92"/>
      <c r="O773" s="143"/>
      <c r="P773" s="141"/>
      <c r="Q773" s="141"/>
    </row>
    <row r="774" spans="1:17" ht="18" customHeight="1">
      <c r="A774" s="148">
        <v>1</v>
      </c>
      <c r="B774" s="176">
        <v>2</v>
      </c>
      <c r="C774" s="176"/>
      <c r="D774" s="176"/>
      <c r="E774" s="176">
        <v>3</v>
      </c>
      <c r="F774" s="176"/>
      <c r="G774" s="176">
        <v>4</v>
      </c>
      <c r="H774" s="176"/>
      <c r="I774" s="148">
        <v>5</v>
      </c>
      <c r="J774" s="148">
        <v>6</v>
      </c>
      <c r="K774" s="51"/>
      <c r="L774" s="51"/>
      <c r="M774" s="51"/>
      <c r="N774" s="51"/>
      <c r="O774" s="54"/>
      <c r="P774" s="75"/>
      <c r="Q774" s="75"/>
    </row>
    <row r="775" spans="1:17" ht="60.75" customHeight="1">
      <c r="A775" s="47">
        <v>1</v>
      </c>
      <c r="B775" s="180" t="s">
        <v>350</v>
      </c>
      <c r="C775" s="180"/>
      <c r="D775" s="180"/>
      <c r="E775" s="176">
        <v>225</v>
      </c>
      <c r="F775" s="176"/>
      <c r="G775" s="176" t="s">
        <v>207</v>
      </c>
      <c r="H775" s="176"/>
      <c r="I775" s="47">
        <v>0</v>
      </c>
      <c r="J775" s="50">
        <v>0</v>
      </c>
      <c r="K775" s="51"/>
      <c r="L775" s="103"/>
      <c r="M775" s="51"/>
      <c r="N775" s="51"/>
      <c r="O775" s="54"/>
      <c r="P775" s="75"/>
      <c r="Q775" s="75"/>
    </row>
    <row r="776" spans="1:17" ht="18" customHeight="1">
      <c r="A776" s="47"/>
      <c r="B776" s="173" t="s">
        <v>130</v>
      </c>
      <c r="C776" s="174"/>
      <c r="D776" s="175"/>
      <c r="E776" s="173"/>
      <c r="F776" s="175"/>
      <c r="G776" s="176" t="s">
        <v>7</v>
      </c>
      <c r="H776" s="176"/>
      <c r="I776" s="47" t="s">
        <v>7</v>
      </c>
      <c r="J776" s="50">
        <f>SUM(J775:J775)</f>
        <v>0</v>
      </c>
      <c r="K776" s="51"/>
      <c r="L776" s="51"/>
      <c r="M776" s="51"/>
      <c r="N776" s="51"/>
      <c r="O776" s="54"/>
      <c r="P776" s="75"/>
      <c r="Q776" s="75"/>
    </row>
    <row r="777" spans="1:17" ht="18" customHeight="1">
      <c r="A777" s="133"/>
      <c r="B777" s="127"/>
      <c r="C777" s="128"/>
      <c r="D777" s="128"/>
      <c r="E777" s="128"/>
      <c r="F777" s="128"/>
      <c r="G777" s="127"/>
      <c r="H777" s="127"/>
      <c r="I777" s="127"/>
      <c r="J777" s="127"/>
      <c r="K777" s="127"/>
      <c r="L777" s="127"/>
      <c r="M777" s="51"/>
      <c r="N777" s="39"/>
      <c r="O777" s="130"/>
      <c r="P777" s="42"/>
      <c r="Q777" s="75"/>
    </row>
    <row r="778" spans="1:17" ht="18.75">
      <c r="A778" s="34"/>
      <c r="B778" s="51" t="s">
        <v>353</v>
      </c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2"/>
      <c r="P778" s="42"/>
      <c r="Q778" s="75"/>
    </row>
    <row r="779" spans="1:17" ht="18.75">
      <c r="A779" s="34"/>
      <c r="B779" s="51" t="s">
        <v>176</v>
      </c>
      <c r="C779" s="51"/>
      <c r="D779" s="110">
        <v>244</v>
      </c>
      <c r="E779" s="110"/>
      <c r="F779" s="110"/>
      <c r="G779" s="54"/>
      <c r="H779" s="51"/>
      <c r="I779" s="51"/>
      <c r="J779" s="51"/>
      <c r="K779" s="51"/>
      <c r="L779" s="51"/>
      <c r="M779" s="51"/>
      <c r="N779" s="51"/>
      <c r="O779" s="52"/>
      <c r="P779" s="42"/>
      <c r="Q779" s="75"/>
    </row>
    <row r="780" spans="1:17" ht="18.75">
      <c r="A780" s="34"/>
      <c r="B780" s="51" t="s">
        <v>149</v>
      </c>
      <c r="C780" s="51"/>
      <c r="D780" s="34"/>
      <c r="E780" s="111" t="s">
        <v>219</v>
      </c>
      <c r="F780" s="112"/>
      <c r="G780" s="54"/>
      <c r="H780" s="51"/>
      <c r="I780" s="51"/>
      <c r="J780" s="51"/>
      <c r="K780" s="51"/>
      <c r="L780" s="51"/>
      <c r="M780" s="51"/>
      <c r="N780" s="51"/>
      <c r="O780" s="52"/>
      <c r="P780" s="42"/>
      <c r="Q780" s="75"/>
    </row>
    <row r="781" spans="1:17" ht="18.75">
      <c r="A781" s="34"/>
      <c r="B781" s="51"/>
      <c r="C781" s="51"/>
      <c r="D781" s="34"/>
      <c r="E781" s="82"/>
      <c r="F781" s="54"/>
      <c r="G781" s="54"/>
      <c r="H781" s="51"/>
      <c r="I781" s="51"/>
      <c r="J781" s="51"/>
      <c r="K781" s="51"/>
      <c r="L781" s="51"/>
      <c r="M781" s="51"/>
      <c r="N781" s="51"/>
      <c r="O781" s="52"/>
      <c r="P781" s="42"/>
      <c r="Q781" s="75"/>
    </row>
    <row r="782" spans="1:17" ht="18.75">
      <c r="A782" s="51"/>
      <c r="B782" s="83" t="s">
        <v>430</v>
      </c>
      <c r="C782" s="83"/>
      <c r="D782" s="83"/>
      <c r="E782" s="83"/>
      <c r="F782" s="83"/>
      <c r="G782" s="83"/>
      <c r="H782" s="83"/>
      <c r="I782" s="83"/>
      <c r="J782" s="54"/>
      <c r="K782" s="51"/>
      <c r="L782" s="51"/>
      <c r="M782" s="51"/>
      <c r="N782" s="51"/>
      <c r="O782" s="54"/>
      <c r="P782" s="42"/>
      <c r="Q782" s="75"/>
    </row>
    <row r="783" spans="1:17" ht="18.75">
      <c r="A783" s="51"/>
      <c r="B783" s="51"/>
      <c r="C783" s="51"/>
      <c r="D783" s="51"/>
      <c r="E783" s="51"/>
      <c r="F783" s="54"/>
      <c r="G783" s="54"/>
      <c r="H783" s="54"/>
      <c r="I783" s="54"/>
      <c r="J783" s="54"/>
      <c r="K783" s="51"/>
      <c r="L783" s="51"/>
      <c r="M783" s="51"/>
      <c r="N783" s="51"/>
      <c r="O783" s="54"/>
      <c r="P783" s="42"/>
      <c r="Q783" s="75"/>
    </row>
    <row r="784" spans="1:17" ht="93.75">
      <c r="A784" s="86" t="s">
        <v>151</v>
      </c>
      <c r="B784" s="177" t="s">
        <v>152</v>
      </c>
      <c r="C784" s="178"/>
      <c r="D784" s="179"/>
      <c r="E784" s="84" t="s">
        <v>164</v>
      </c>
      <c r="F784" s="177" t="s">
        <v>246</v>
      </c>
      <c r="G784" s="179"/>
      <c r="H784" s="177" t="s">
        <v>247</v>
      </c>
      <c r="I784" s="179"/>
      <c r="J784" s="84" t="s">
        <v>248</v>
      </c>
      <c r="K784" s="84" t="s">
        <v>174</v>
      </c>
      <c r="L784" s="51"/>
      <c r="M784" s="51"/>
      <c r="N784" s="51"/>
      <c r="O784" s="54"/>
      <c r="P784" s="42"/>
      <c r="Q784" s="75"/>
    </row>
    <row r="785" spans="1:17" ht="18.75">
      <c r="A785" s="85">
        <v>1</v>
      </c>
      <c r="B785" s="170">
        <v>2</v>
      </c>
      <c r="C785" s="172"/>
      <c r="D785" s="171"/>
      <c r="E785" s="85">
        <v>3</v>
      </c>
      <c r="F785" s="170">
        <v>4</v>
      </c>
      <c r="G785" s="171"/>
      <c r="H785" s="170">
        <v>5</v>
      </c>
      <c r="I785" s="171"/>
      <c r="J785" s="85">
        <v>6</v>
      </c>
      <c r="K785" s="85">
        <v>7</v>
      </c>
      <c r="L785" s="51"/>
      <c r="M785" s="51"/>
      <c r="N785" s="51"/>
      <c r="O785" s="54"/>
      <c r="P785" s="42"/>
      <c r="Q785" s="75"/>
    </row>
    <row r="786" spans="1:17" ht="92.25" customHeight="1">
      <c r="A786" s="86">
        <v>1</v>
      </c>
      <c r="B786" s="167" t="s">
        <v>504</v>
      </c>
      <c r="C786" s="168"/>
      <c r="D786" s="169"/>
      <c r="E786" s="86">
        <v>226</v>
      </c>
      <c r="F786" s="170">
        <v>233</v>
      </c>
      <c r="G786" s="171"/>
      <c r="H786" s="170">
        <v>9</v>
      </c>
      <c r="I786" s="171"/>
      <c r="J786" s="87">
        <v>170</v>
      </c>
      <c r="K786" s="87">
        <f>369240-100000</f>
        <v>269240</v>
      </c>
      <c r="L786" s="51"/>
      <c r="M786" s="51"/>
      <c r="N786" s="51"/>
      <c r="O786" s="54"/>
      <c r="P786" s="42"/>
      <c r="Q786" s="75"/>
    </row>
    <row r="787" spans="1:17" ht="18.75">
      <c r="A787" s="86"/>
      <c r="B787" s="170" t="s">
        <v>130</v>
      </c>
      <c r="C787" s="172"/>
      <c r="D787" s="171"/>
      <c r="E787" s="86"/>
      <c r="F787" s="170" t="s">
        <v>168</v>
      </c>
      <c r="G787" s="171"/>
      <c r="H787" s="170" t="s">
        <v>168</v>
      </c>
      <c r="I787" s="171"/>
      <c r="J787" s="86" t="s">
        <v>168</v>
      </c>
      <c r="K787" s="104">
        <f>SUM(K786:K786)</f>
        <v>269240</v>
      </c>
      <c r="L787" s="51"/>
      <c r="M787" s="51"/>
      <c r="N787" s="51"/>
      <c r="O787" s="54"/>
      <c r="P787" s="42"/>
      <c r="Q787" s="75"/>
    </row>
    <row r="788" spans="1:17" ht="18.75">
      <c r="A788" s="34"/>
      <c r="B788" s="51"/>
      <c r="C788" s="51"/>
      <c r="D788" s="34"/>
      <c r="E788" s="82"/>
      <c r="F788" s="54"/>
      <c r="G788" s="54"/>
      <c r="H788" s="51"/>
      <c r="I788" s="51"/>
      <c r="J788" s="51"/>
      <c r="K788" s="51"/>
      <c r="L788" s="51"/>
      <c r="M788" s="51"/>
      <c r="N788" s="51"/>
      <c r="O788" s="52"/>
      <c r="P788" s="42"/>
      <c r="Q788" s="75"/>
    </row>
    <row r="789" spans="1:17" ht="18.75">
      <c r="A789" s="51"/>
      <c r="B789" s="83" t="s">
        <v>431</v>
      </c>
      <c r="C789" s="83"/>
      <c r="D789" s="83"/>
      <c r="E789" s="83"/>
      <c r="F789" s="83"/>
      <c r="G789" s="83"/>
      <c r="H789" s="83"/>
      <c r="I789" s="83"/>
      <c r="J789" s="54"/>
      <c r="K789" s="51"/>
      <c r="L789" s="51"/>
      <c r="M789" s="51"/>
      <c r="N789" s="51"/>
      <c r="O789" s="52"/>
      <c r="P789" s="42"/>
      <c r="Q789" s="75"/>
    </row>
    <row r="790" spans="1:17" ht="18.75">
      <c r="A790" s="51"/>
      <c r="B790" s="51"/>
      <c r="C790" s="51"/>
      <c r="D790" s="51"/>
      <c r="E790" s="51"/>
      <c r="F790" s="54"/>
      <c r="G790" s="54"/>
      <c r="H790" s="54"/>
      <c r="I790" s="54"/>
      <c r="J790" s="54"/>
      <c r="K790" s="51"/>
      <c r="L790" s="51"/>
      <c r="M790" s="51"/>
      <c r="N790" s="51"/>
      <c r="O790" s="52"/>
      <c r="P790" s="42"/>
      <c r="Q790" s="75"/>
    </row>
    <row r="791" spans="1:16" ht="93.75">
      <c r="A791" s="86" t="s">
        <v>151</v>
      </c>
      <c r="B791" s="177" t="s">
        <v>152</v>
      </c>
      <c r="C791" s="178"/>
      <c r="D791" s="179"/>
      <c r="E791" s="84" t="s">
        <v>164</v>
      </c>
      <c r="F791" s="177" t="s">
        <v>323</v>
      </c>
      <c r="G791" s="179"/>
      <c r="H791" s="84" t="s">
        <v>174</v>
      </c>
      <c r="I791" s="51"/>
      <c r="J791" s="51"/>
      <c r="K791" s="51"/>
      <c r="L791" s="52"/>
      <c r="M791" s="42"/>
      <c r="N791" s="113"/>
      <c r="O791" s="113"/>
      <c r="P791" s="75"/>
    </row>
    <row r="792" spans="1:16" ht="18.75">
      <c r="A792" s="85">
        <v>1</v>
      </c>
      <c r="B792" s="170">
        <v>2</v>
      </c>
      <c r="C792" s="172"/>
      <c r="D792" s="171"/>
      <c r="E792" s="85">
        <v>3</v>
      </c>
      <c r="F792" s="170">
        <v>4</v>
      </c>
      <c r="G792" s="171"/>
      <c r="H792" s="85">
        <v>5</v>
      </c>
      <c r="I792" s="51"/>
      <c r="J792" s="51"/>
      <c r="K792" s="51"/>
      <c r="L792" s="52"/>
      <c r="M792" s="42"/>
      <c r="N792" s="113"/>
      <c r="O792" s="113"/>
      <c r="P792" s="75">
        <f>O793</f>
        <v>0</v>
      </c>
    </row>
    <row r="793" spans="1:17" ht="81" customHeight="1">
      <c r="A793" s="86">
        <v>1</v>
      </c>
      <c r="B793" s="167" t="s">
        <v>249</v>
      </c>
      <c r="C793" s="168"/>
      <c r="D793" s="169"/>
      <c r="E793" s="86">
        <v>226</v>
      </c>
      <c r="F793" s="170">
        <v>1</v>
      </c>
      <c r="G793" s="171"/>
      <c r="H793" s="87">
        <f>88392.69+4950-203.58</f>
        <v>93139.11</v>
      </c>
      <c r="I793" s="51"/>
      <c r="J793" s="51"/>
      <c r="K793" s="51"/>
      <c r="L793" s="52"/>
      <c r="M793" s="42"/>
      <c r="N793" s="113"/>
      <c r="O793" s="113"/>
      <c r="P793" s="75">
        <f>H793-O793</f>
        <v>93139.11</v>
      </c>
      <c r="Q793" s="77"/>
    </row>
    <row r="794" spans="1:16" ht="18.75">
      <c r="A794" s="86"/>
      <c r="B794" s="170" t="s">
        <v>130</v>
      </c>
      <c r="C794" s="172"/>
      <c r="D794" s="171"/>
      <c r="E794" s="86"/>
      <c r="F794" s="170" t="s">
        <v>168</v>
      </c>
      <c r="G794" s="171"/>
      <c r="H794" s="104">
        <f>SUM(H793:H793)</f>
        <v>93139.11</v>
      </c>
      <c r="I794" s="51"/>
      <c r="J794" s="51"/>
      <c r="K794" s="51"/>
      <c r="L794" s="52"/>
      <c r="M794" s="42"/>
      <c r="N794" s="113"/>
      <c r="O794" s="113"/>
      <c r="P794" s="75"/>
    </row>
    <row r="795" spans="1:17" ht="18.75">
      <c r="A795" s="34"/>
      <c r="B795" s="51"/>
      <c r="C795" s="51"/>
      <c r="D795" s="34"/>
      <c r="E795" s="82"/>
      <c r="F795" s="54"/>
      <c r="G795" s="54"/>
      <c r="H795" s="51"/>
      <c r="I795" s="51"/>
      <c r="J795" s="51"/>
      <c r="K795" s="51"/>
      <c r="L795" s="51"/>
      <c r="M795" s="51"/>
      <c r="N795" s="51"/>
      <c r="O795" s="52"/>
      <c r="P795" s="42"/>
      <c r="Q795" s="75"/>
    </row>
    <row r="796" spans="1:17" ht="18.75" hidden="1">
      <c r="A796" s="51"/>
      <c r="B796" s="83" t="s">
        <v>297</v>
      </c>
      <c r="C796" s="83"/>
      <c r="D796" s="83"/>
      <c r="E796" s="83"/>
      <c r="F796" s="83"/>
      <c r="G796" s="83"/>
      <c r="H796" s="83"/>
      <c r="I796" s="83"/>
      <c r="J796" s="54"/>
      <c r="K796" s="51"/>
      <c r="L796" s="51"/>
      <c r="M796" s="51"/>
      <c r="N796" s="51"/>
      <c r="O796" s="52"/>
      <c r="P796" s="42"/>
      <c r="Q796" s="75"/>
    </row>
    <row r="797" spans="1:17" ht="18.75" hidden="1">
      <c r="A797" s="51"/>
      <c r="B797" s="51"/>
      <c r="C797" s="51"/>
      <c r="D797" s="51"/>
      <c r="E797" s="51"/>
      <c r="F797" s="54"/>
      <c r="G797" s="54"/>
      <c r="H797" s="54"/>
      <c r="I797" s="54"/>
      <c r="J797" s="54"/>
      <c r="K797" s="51"/>
      <c r="L797" s="51"/>
      <c r="M797" s="51"/>
      <c r="N797" s="51"/>
      <c r="O797" s="52"/>
      <c r="P797" s="42"/>
      <c r="Q797" s="75"/>
    </row>
    <row r="798" spans="1:17" ht="93.75" hidden="1">
      <c r="A798" s="86" t="s">
        <v>151</v>
      </c>
      <c r="B798" s="177" t="s">
        <v>152</v>
      </c>
      <c r="C798" s="178"/>
      <c r="D798" s="179"/>
      <c r="E798" s="84" t="s">
        <v>164</v>
      </c>
      <c r="F798" s="177" t="s">
        <v>246</v>
      </c>
      <c r="G798" s="179"/>
      <c r="H798" s="84" t="s">
        <v>174</v>
      </c>
      <c r="I798" s="51"/>
      <c r="J798" s="51"/>
      <c r="K798" s="51"/>
      <c r="L798" s="52"/>
      <c r="M798" s="42"/>
      <c r="N798" s="34"/>
      <c r="O798" s="34"/>
      <c r="P798" s="1"/>
      <c r="Q798" s="75"/>
    </row>
    <row r="799" spans="1:17" ht="18.75" hidden="1">
      <c r="A799" s="85">
        <v>1</v>
      </c>
      <c r="B799" s="170">
        <v>2</v>
      </c>
      <c r="C799" s="172"/>
      <c r="D799" s="171"/>
      <c r="E799" s="85">
        <v>3</v>
      </c>
      <c r="F799" s="170">
        <v>4</v>
      </c>
      <c r="G799" s="171"/>
      <c r="H799" s="85">
        <v>5</v>
      </c>
      <c r="I799" s="51"/>
      <c r="J799" s="51"/>
      <c r="K799" s="51"/>
      <c r="L799" s="52"/>
      <c r="M799" s="42"/>
      <c r="N799" s="34"/>
      <c r="O799" s="34"/>
      <c r="P799" s="1"/>
      <c r="Q799" s="75"/>
    </row>
    <row r="800" spans="1:17" ht="66.75" customHeight="1" hidden="1">
      <c r="A800" s="86">
        <v>1</v>
      </c>
      <c r="B800" s="167" t="s">
        <v>250</v>
      </c>
      <c r="C800" s="168"/>
      <c r="D800" s="169"/>
      <c r="E800" s="86">
        <v>226</v>
      </c>
      <c r="F800" s="170">
        <v>110</v>
      </c>
      <c r="G800" s="171"/>
      <c r="H800" s="87">
        <f>200200-200200</f>
        <v>0</v>
      </c>
      <c r="I800" s="51"/>
      <c r="J800" s="51"/>
      <c r="K800" s="51"/>
      <c r="L800" s="52"/>
      <c r="M800" s="42"/>
      <c r="N800" s="34"/>
      <c r="O800" s="34"/>
      <c r="P800" s="1"/>
      <c r="Q800" s="75"/>
    </row>
    <row r="801" spans="1:17" ht="18.75" hidden="1">
      <c r="A801" s="86"/>
      <c r="B801" s="170" t="s">
        <v>130</v>
      </c>
      <c r="C801" s="172"/>
      <c r="D801" s="171"/>
      <c r="E801" s="86"/>
      <c r="F801" s="170" t="s">
        <v>168</v>
      </c>
      <c r="G801" s="171"/>
      <c r="H801" s="104">
        <f>SUM(H800:H800)</f>
        <v>0</v>
      </c>
      <c r="I801" s="51"/>
      <c r="J801" s="51"/>
      <c r="K801" s="51"/>
      <c r="L801" s="52"/>
      <c r="M801" s="42"/>
      <c r="N801" s="34"/>
      <c r="O801" s="34"/>
      <c r="P801" s="1"/>
      <c r="Q801" s="75"/>
    </row>
    <row r="802" spans="1:17" ht="18.75" hidden="1">
      <c r="A802" s="34"/>
      <c r="B802" s="51"/>
      <c r="C802" s="51"/>
      <c r="D802" s="34"/>
      <c r="E802" s="82"/>
      <c r="F802" s="54"/>
      <c r="G802" s="54"/>
      <c r="H802" s="51"/>
      <c r="I802" s="51"/>
      <c r="J802" s="51"/>
      <c r="K802" s="51"/>
      <c r="L802" s="51"/>
      <c r="M802" s="51"/>
      <c r="N802" s="51"/>
      <c r="O802" s="52"/>
      <c r="P802" s="42"/>
      <c r="Q802" s="75"/>
    </row>
    <row r="803" spans="1:17" ht="18.75">
      <c r="A803" s="51"/>
      <c r="B803" s="83" t="s">
        <v>432</v>
      </c>
      <c r="C803" s="83"/>
      <c r="D803" s="83"/>
      <c r="E803" s="83"/>
      <c r="F803" s="83"/>
      <c r="G803" s="83"/>
      <c r="H803" s="83"/>
      <c r="I803" s="83"/>
      <c r="J803" s="54"/>
      <c r="K803" s="51"/>
      <c r="L803" s="51"/>
      <c r="M803" s="51"/>
      <c r="N803" s="51"/>
      <c r="O803" s="52"/>
      <c r="P803" s="42"/>
      <c r="Q803" s="75"/>
    </row>
    <row r="804" spans="1:17" ht="18.75">
      <c r="A804" s="51"/>
      <c r="B804" s="51"/>
      <c r="C804" s="51"/>
      <c r="D804" s="51"/>
      <c r="E804" s="51"/>
      <c r="F804" s="54"/>
      <c r="G804" s="54"/>
      <c r="H804" s="54"/>
      <c r="I804" s="54"/>
      <c r="J804" s="54"/>
      <c r="K804" s="51"/>
      <c r="L804" s="51"/>
      <c r="M804" s="51"/>
      <c r="N804" s="51"/>
      <c r="O804" s="52"/>
      <c r="P804" s="42"/>
      <c r="Q804" s="75"/>
    </row>
    <row r="805" spans="1:16" ht="93.75">
      <c r="A805" s="86" t="s">
        <v>151</v>
      </c>
      <c r="B805" s="177" t="s">
        <v>152</v>
      </c>
      <c r="C805" s="178"/>
      <c r="D805" s="179"/>
      <c r="E805" s="84" t="s">
        <v>164</v>
      </c>
      <c r="F805" s="177" t="s">
        <v>323</v>
      </c>
      <c r="G805" s="179"/>
      <c r="H805" s="84" t="s">
        <v>174</v>
      </c>
      <c r="I805" s="51"/>
      <c r="J805" s="51"/>
      <c r="K805" s="51"/>
      <c r="L805" s="52"/>
      <c r="M805" s="42"/>
      <c r="N805" s="113"/>
      <c r="O805" s="113"/>
      <c r="P805" s="75"/>
    </row>
    <row r="806" spans="1:16" ht="18.75">
      <c r="A806" s="85">
        <v>1</v>
      </c>
      <c r="B806" s="170">
        <v>2</v>
      </c>
      <c r="C806" s="172"/>
      <c r="D806" s="171"/>
      <c r="E806" s="85">
        <v>3</v>
      </c>
      <c r="F806" s="170">
        <v>4</v>
      </c>
      <c r="G806" s="171"/>
      <c r="H806" s="85">
        <v>5</v>
      </c>
      <c r="I806" s="51"/>
      <c r="J806" s="51"/>
      <c r="K806" s="51"/>
      <c r="L806" s="52"/>
      <c r="M806" s="42"/>
      <c r="N806" s="113"/>
      <c r="O806" s="113"/>
      <c r="P806" s="75">
        <f>O807+O808</f>
        <v>0</v>
      </c>
    </row>
    <row r="807" spans="1:17" ht="74.25" customHeight="1">
      <c r="A807" s="86">
        <v>1</v>
      </c>
      <c r="B807" s="167" t="s">
        <v>301</v>
      </c>
      <c r="C807" s="168"/>
      <c r="D807" s="169"/>
      <c r="E807" s="86">
        <v>226</v>
      </c>
      <c r="F807" s="170">
        <v>1</v>
      </c>
      <c r="G807" s="171"/>
      <c r="H807" s="87">
        <f>384734.44-56934.67</f>
        <v>327799.77</v>
      </c>
      <c r="I807" s="51"/>
      <c r="J807" s="51"/>
      <c r="K807" s="51"/>
      <c r="L807" s="52"/>
      <c r="M807" s="42"/>
      <c r="N807" s="113"/>
      <c r="O807" s="113"/>
      <c r="P807" s="75">
        <f>H807-O807</f>
        <v>327799.77</v>
      </c>
      <c r="Q807" s="8"/>
    </row>
    <row r="808" spans="1:17" ht="91.5" customHeight="1">
      <c r="A808" s="86">
        <v>2</v>
      </c>
      <c r="B808" s="167" t="s">
        <v>362</v>
      </c>
      <c r="C808" s="168"/>
      <c r="D808" s="169"/>
      <c r="E808" s="86">
        <v>226</v>
      </c>
      <c r="F808" s="170">
        <v>1</v>
      </c>
      <c r="G808" s="171"/>
      <c r="H808" s="87">
        <f>1694220-57750</f>
        <v>1636470</v>
      </c>
      <c r="I808" s="51"/>
      <c r="J808" s="51"/>
      <c r="K808" s="51"/>
      <c r="L808" s="52"/>
      <c r="M808" s="42"/>
      <c r="N808" s="113"/>
      <c r="O808" s="113"/>
      <c r="P808" s="75">
        <f>H808-O808</f>
        <v>1636470</v>
      </c>
      <c r="Q808" s="8"/>
    </row>
    <row r="809" spans="1:16" ht="18.75">
      <c r="A809" s="86"/>
      <c r="B809" s="170" t="s">
        <v>130</v>
      </c>
      <c r="C809" s="172"/>
      <c r="D809" s="171"/>
      <c r="E809" s="86"/>
      <c r="F809" s="170" t="s">
        <v>168</v>
      </c>
      <c r="G809" s="171"/>
      <c r="H809" s="104">
        <f>SUM(H807:H808)</f>
        <v>1964269.77</v>
      </c>
      <c r="I809" s="51"/>
      <c r="J809" s="51"/>
      <c r="K809" s="51"/>
      <c r="L809" s="52"/>
      <c r="M809" s="42"/>
      <c r="N809" s="113"/>
      <c r="O809" s="113"/>
      <c r="P809" s="75"/>
    </row>
    <row r="810" spans="1:17" ht="18.75">
      <c r="A810" s="34"/>
      <c r="B810" s="51"/>
      <c r="C810" s="51"/>
      <c r="D810" s="34"/>
      <c r="E810" s="82"/>
      <c r="F810" s="54"/>
      <c r="G810" s="54"/>
      <c r="H810" s="51"/>
      <c r="I810" s="51"/>
      <c r="J810" s="51"/>
      <c r="K810" s="51"/>
      <c r="L810" s="51"/>
      <c r="M810" s="51"/>
      <c r="N810" s="51"/>
      <c r="O810" s="52"/>
      <c r="P810" s="42"/>
      <c r="Q810" s="75"/>
    </row>
    <row r="811" spans="1:17" ht="18.75">
      <c r="A811" s="51"/>
      <c r="B811" s="83" t="s">
        <v>433</v>
      </c>
      <c r="C811" s="83"/>
      <c r="D811" s="83"/>
      <c r="E811" s="83"/>
      <c r="F811" s="83"/>
      <c r="G811" s="83"/>
      <c r="H811" s="83"/>
      <c r="I811" s="83"/>
      <c r="J811" s="54"/>
      <c r="K811" s="51"/>
      <c r="L811" s="51"/>
      <c r="M811" s="51"/>
      <c r="N811" s="51"/>
      <c r="O811" s="54"/>
      <c r="P811" s="42"/>
      <c r="Q811" s="75"/>
    </row>
    <row r="812" spans="1:17" ht="18.75">
      <c r="A812" s="51"/>
      <c r="B812" s="51"/>
      <c r="C812" s="51"/>
      <c r="D812" s="51"/>
      <c r="E812" s="51"/>
      <c r="F812" s="54"/>
      <c r="G812" s="54"/>
      <c r="H812" s="54"/>
      <c r="I812" s="54"/>
      <c r="J812" s="54"/>
      <c r="K812" s="51"/>
      <c r="L812" s="51"/>
      <c r="M812" s="51"/>
      <c r="N812" s="51"/>
      <c r="O812" s="54"/>
      <c r="P812" s="42"/>
      <c r="Q812" s="75"/>
    </row>
    <row r="813" spans="1:16" ht="93.75">
      <c r="A813" s="86" t="s">
        <v>151</v>
      </c>
      <c r="B813" s="177" t="s">
        <v>152</v>
      </c>
      <c r="C813" s="178"/>
      <c r="D813" s="179"/>
      <c r="E813" s="84" t="s">
        <v>164</v>
      </c>
      <c r="F813" s="177" t="s">
        <v>323</v>
      </c>
      <c r="G813" s="179"/>
      <c r="H813" s="84" t="s">
        <v>174</v>
      </c>
      <c r="I813" s="51"/>
      <c r="J813" s="51"/>
      <c r="K813" s="51"/>
      <c r="L813" s="54"/>
      <c r="M813" s="42"/>
      <c r="N813" s="113"/>
      <c r="O813" s="113"/>
      <c r="P813" s="75"/>
    </row>
    <row r="814" spans="1:16" ht="18.75">
      <c r="A814" s="85">
        <v>1</v>
      </c>
      <c r="B814" s="170">
        <v>2</v>
      </c>
      <c r="C814" s="172"/>
      <c r="D814" s="171"/>
      <c r="E814" s="85">
        <v>3</v>
      </c>
      <c r="F814" s="170">
        <v>4</v>
      </c>
      <c r="G814" s="171"/>
      <c r="H814" s="85">
        <v>5</v>
      </c>
      <c r="I814" s="51"/>
      <c r="J814" s="51"/>
      <c r="K814" s="51"/>
      <c r="L814" s="54"/>
      <c r="M814" s="42"/>
      <c r="N814" s="113"/>
      <c r="O814" s="113"/>
      <c r="P814" s="75"/>
    </row>
    <row r="815" spans="1:16" ht="99.75" customHeight="1">
      <c r="A815" s="86">
        <v>1</v>
      </c>
      <c r="B815" s="167" t="s">
        <v>336</v>
      </c>
      <c r="C815" s="168"/>
      <c r="D815" s="169"/>
      <c r="E815" s="86">
        <v>226</v>
      </c>
      <c r="F815" s="170">
        <v>1</v>
      </c>
      <c r="G815" s="171"/>
      <c r="H815" s="87">
        <v>56280</v>
      </c>
      <c r="I815" s="51"/>
      <c r="J815" s="51"/>
      <c r="K815" s="51"/>
      <c r="L815" s="54"/>
      <c r="M815" s="42"/>
      <c r="N815" s="113"/>
      <c r="O815" s="113"/>
      <c r="P815" s="75"/>
    </row>
    <row r="816" spans="1:16" ht="18.75">
      <c r="A816" s="86"/>
      <c r="B816" s="170" t="s">
        <v>130</v>
      </c>
      <c r="C816" s="172"/>
      <c r="D816" s="171"/>
      <c r="E816" s="86"/>
      <c r="F816" s="170" t="s">
        <v>168</v>
      </c>
      <c r="G816" s="171"/>
      <c r="H816" s="104">
        <f>SUM(H815:H815)</f>
        <v>56280</v>
      </c>
      <c r="I816" s="51"/>
      <c r="J816" s="51"/>
      <c r="K816" s="51"/>
      <c r="L816" s="54"/>
      <c r="M816" s="42"/>
      <c r="N816" s="113"/>
      <c r="O816" s="113"/>
      <c r="P816" s="75"/>
    </row>
    <row r="817" spans="1:17" ht="18.75">
      <c r="A817" s="34"/>
      <c r="B817" s="51"/>
      <c r="C817" s="51"/>
      <c r="D817" s="34"/>
      <c r="E817" s="82"/>
      <c r="F817" s="54"/>
      <c r="G817" s="54"/>
      <c r="H817" s="51"/>
      <c r="I817" s="51"/>
      <c r="J817" s="51"/>
      <c r="K817" s="51"/>
      <c r="L817" s="51"/>
      <c r="M817" s="51"/>
      <c r="N817" s="51"/>
      <c r="O817" s="52"/>
      <c r="P817" s="42"/>
      <c r="Q817" s="75"/>
    </row>
    <row r="818" spans="1:17" ht="18.75">
      <c r="A818" s="51"/>
      <c r="B818" s="83" t="s">
        <v>451</v>
      </c>
      <c r="C818" s="83"/>
      <c r="D818" s="83"/>
      <c r="E818" s="83"/>
      <c r="F818" s="83"/>
      <c r="G818" s="83"/>
      <c r="H818" s="83"/>
      <c r="I818" s="83"/>
      <c r="J818" s="54"/>
      <c r="K818" s="51"/>
      <c r="L818" s="51"/>
      <c r="M818" s="51"/>
      <c r="N818" s="51"/>
      <c r="O818" s="52"/>
      <c r="P818" s="42"/>
      <c r="Q818" s="75"/>
    </row>
    <row r="819" spans="1:17" ht="18.75">
      <c r="A819" s="51"/>
      <c r="B819" s="51"/>
      <c r="C819" s="51"/>
      <c r="D819" s="51"/>
      <c r="E819" s="51"/>
      <c r="F819" s="54"/>
      <c r="G819" s="54"/>
      <c r="H819" s="54"/>
      <c r="I819" s="54"/>
      <c r="J819" s="54"/>
      <c r="K819" s="51"/>
      <c r="L819" s="51"/>
      <c r="M819" s="51"/>
      <c r="N819" s="51"/>
      <c r="O819" s="52"/>
      <c r="P819" s="42"/>
      <c r="Q819" s="75"/>
    </row>
    <row r="820" spans="1:17" ht="93.75">
      <c r="A820" s="86" t="s">
        <v>151</v>
      </c>
      <c r="B820" s="177" t="s">
        <v>152</v>
      </c>
      <c r="C820" s="178"/>
      <c r="D820" s="179"/>
      <c r="E820" s="84" t="s">
        <v>164</v>
      </c>
      <c r="F820" s="177" t="s">
        <v>169</v>
      </c>
      <c r="G820" s="179"/>
      <c r="H820" s="51"/>
      <c r="I820" s="51"/>
      <c r="J820" s="51"/>
      <c r="K820" s="52"/>
      <c r="L820" s="51"/>
      <c r="M820" s="51"/>
      <c r="N820" s="51"/>
      <c r="O820" s="52"/>
      <c r="P820" s="42"/>
      <c r="Q820" s="75"/>
    </row>
    <row r="821" spans="1:17" ht="18.75">
      <c r="A821" s="85">
        <v>1</v>
      </c>
      <c r="B821" s="170">
        <v>2</v>
      </c>
      <c r="C821" s="172"/>
      <c r="D821" s="171"/>
      <c r="E821" s="85">
        <v>3</v>
      </c>
      <c r="F821" s="170">
        <v>4</v>
      </c>
      <c r="G821" s="171"/>
      <c r="H821" s="51"/>
      <c r="I821" s="51"/>
      <c r="J821" s="51"/>
      <c r="K821" s="52"/>
      <c r="L821" s="51"/>
      <c r="M821" s="51"/>
      <c r="N821" s="51"/>
      <c r="O821" s="52"/>
      <c r="P821" s="42"/>
      <c r="Q821" s="75"/>
    </row>
    <row r="822" spans="1:17" ht="103.5" customHeight="1">
      <c r="A822" s="86">
        <v>1</v>
      </c>
      <c r="B822" s="167" t="s">
        <v>449</v>
      </c>
      <c r="C822" s="168"/>
      <c r="D822" s="169"/>
      <c r="E822" s="86">
        <v>226</v>
      </c>
      <c r="F822" s="188">
        <f>50000-50000</f>
        <v>0</v>
      </c>
      <c r="G822" s="189"/>
      <c r="H822" s="51"/>
      <c r="I822" s="51"/>
      <c r="J822" s="51"/>
      <c r="K822" s="52"/>
      <c r="L822" s="51"/>
      <c r="M822" s="51"/>
      <c r="N822" s="51"/>
      <c r="O822" s="52"/>
      <c r="P822" s="42"/>
      <c r="Q822" s="75"/>
    </row>
    <row r="823" spans="1:17" ht="18.75">
      <c r="A823" s="86"/>
      <c r="B823" s="170" t="s">
        <v>130</v>
      </c>
      <c r="C823" s="172"/>
      <c r="D823" s="171"/>
      <c r="E823" s="85" t="s">
        <v>450</v>
      </c>
      <c r="F823" s="188">
        <f>F822</f>
        <v>0</v>
      </c>
      <c r="G823" s="189"/>
      <c r="H823" s="51"/>
      <c r="I823" s="51"/>
      <c r="J823" s="51"/>
      <c r="K823" s="52"/>
      <c r="L823" s="51"/>
      <c r="M823" s="51"/>
      <c r="N823" s="51"/>
      <c r="O823" s="52"/>
      <c r="P823" s="42"/>
      <c r="Q823" s="75"/>
    </row>
    <row r="824" spans="1:17" ht="18.75">
      <c r="A824" s="34"/>
      <c r="B824" s="51"/>
      <c r="C824" s="51"/>
      <c r="D824" s="34"/>
      <c r="E824" s="82"/>
      <c r="F824" s="54"/>
      <c r="G824" s="54"/>
      <c r="H824" s="51"/>
      <c r="I824" s="51"/>
      <c r="J824" s="51"/>
      <c r="K824" s="51"/>
      <c r="L824" s="51"/>
      <c r="M824" s="51"/>
      <c r="N824" s="51"/>
      <c r="O824" s="52"/>
      <c r="P824" s="42"/>
      <c r="Q824" s="75"/>
    </row>
    <row r="825" spans="1:17" ht="18.75">
      <c r="A825" s="51"/>
      <c r="B825" s="83" t="s">
        <v>434</v>
      </c>
      <c r="C825" s="83"/>
      <c r="D825" s="83"/>
      <c r="E825" s="83"/>
      <c r="F825" s="83"/>
      <c r="G825" s="83"/>
      <c r="H825" s="83"/>
      <c r="I825" s="83"/>
      <c r="J825" s="54"/>
      <c r="K825" s="51"/>
      <c r="L825" s="51"/>
      <c r="M825" s="51"/>
      <c r="N825" s="51"/>
      <c r="O825" s="52"/>
      <c r="P825" s="75"/>
      <c r="Q825" s="75"/>
    </row>
    <row r="826" spans="1:17" ht="18.75">
      <c r="A826" s="51"/>
      <c r="B826" s="51"/>
      <c r="C826" s="51"/>
      <c r="D826" s="51"/>
      <c r="E826" s="51"/>
      <c r="F826" s="54"/>
      <c r="G826" s="54"/>
      <c r="H826" s="54"/>
      <c r="I826" s="54"/>
      <c r="J826" s="54"/>
      <c r="K826" s="51"/>
      <c r="L826" s="51"/>
      <c r="M826" s="51"/>
      <c r="N826" s="51"/>
      <c r="O826" s="52"/>
      <c r="P826" s="75"/>
      <c r="Q826" s="75"/>
    </row>
    <row r="827" spans="1:17" ht="93.75">
      <c r="A827" s="86" t="s">
        <v>151</v>
      </c>
      <c r="B827" s="177" t="s">
        <v>152</v>
      </c>
      <c r="C827" s="178"/>
      <c r="D827" s="179"/>
      <c r="E827" s="84" t="s">
        <v>164</v>
      </c>
      <c r="F827" s="177" t="s">
        <v>323</v>
      </c>
      <c r="G827" s="179"/>
      <c r="H827" s="84" t="s">
        <v>174</v>
      </c>
      <c r="I827" s="51"/>
      <c r="J827" s="51"/>
      <c r="K827" s="51"/>
      <c r="L827" s="52"/>
      <c r="M827" s="113"/>
      <c r="N827" s="113"/>
      <c r="O827" s="34"/>
      <c r="P827" s="1"/>
      <c r="Q827" s="75"/>
    </row>
    <row r="828" spans="1:17" ht="18.75">
      <c r="A828" s="85">
        <v>1</v>
      </c>
      <c r="B828" s="170">
        <v>2</v>
      </c>
      <c r="C828" s="172"/>
      <c r="D828" s="171"/>
      <c r="E828" s="85">
        <v>3</v>
      </c>
      <c r="F828" s="170">
        <v>4</v>
      </c>
      <c r="G828" s="171"/>
      <c r="H828" s="85">
        <v>5</v>
      </c>
      <c r="I828" s="51"/>
      <c r="J828" s="51"/>
      <c r="K828" s="51"/>
      <c r="L828" s="52"/>
      <c r="M828" s="113"/>
      <c r="N828" s="113"/>
      <c r="O828" s="34"/>
      <c r="P828" s="75" t="s">
        <v>283</v>
      </c>
      <c r="Q828" s="75"/>
    </row>
    <row r="829" spans="1:17" ht="158.25" customHeight="1">
      <c r="A829" s="86">
        <v>1</v>
      </c>
      <c r="B829" s="167" t="s">
        <v>447</v>
      </c>
      <c r="C829" s="168"/>
      <c r="D829" s="169"/>
      <c r="E829" s="86">
        <v>226</v>
      </c>
      <c r="F829" s="170">
        <v>0</v>
      </c>
      <c r="G829" s="171"/>
      <c r="H829" s="87">
        <f>2038700-2038700</f>
        <v>0</v>
      </c>
      <c r="I829" s="51"/>
      <c r="J829" s="51"/>
      <c r="K829" s="51"/>
      <c r="L829" s="52"/>
      <c r="M829" s="113"/>
      <c r="N829" s="113"/>
      <c r="O829" s="34"/>
      <c r="P829" s="75">
        <v>0</v>
      </c>
      <c r="Q829" s="75"/>
    </row>
    <row r="830" spans="1:17" ht="18.75">
      <c r="A830" s="86"/>
      <c r="B830" s="170" t="s">
        <v>130</v>
      </c>
      <c r="C830" s="172"/>
      <c r="D830" s="171"/>
      <c r="E830" s="86"/>
      <c r="F830" s="170" t="s">
        <v>168</v>
      </c>
      <c r="G830" s="171"/>
      <c r="H830" s="104">
        <f>SUM(H829:H829)</f>
        <v>0</v>
      </c>
      <c r="I830" s="51"/>
      <c r="J830" s="51"/>
      <c r="K830" s="51"/>
      <c r="L830" s="52"/>
      <c r="M830" s="113"/>
      <c r="N830" s="113"/>
      <c r="O830" s="34"/>
      <c r="P830" s="1"/>
      <c r="Q830" s="75"/>
    </row>
    <row r="831" spans="1:17" ht="18.75">
      <c r="A831" s="34"/>
      <c r="B831" s="51"/>
      <c r="C831" s="51"/>
      <c r="D831" s="34"/>
      <c r="E831" s="82"/>
      <c r="F831" s="54"/>
      <c r="G831" s="54"/>
      <c r="H831" s="51"/>
      <c r="I831" s="51"/>
      <c r="J831" s="51"/>
      <c r="K831" s="51"/>
      <c r="L831" s="51"/>
      <c r="M831" s="51"/>
      <c r="N831" s="51"/>
      <c r="O831" s="52"/>
      <c r="P831" s="42"/>
      <c r="Q831" s="75"/>
    </row>
    <row r="832" spans="1:17" ht="18.75">
      <c r="A832" s="51"/>
      <c r="B832" s="83" t="s">
        <v>452</v>
      </c>
      <c r="C832" s="83"/>
      <c r="D832" s="83"/>
      <c r="E832" s="83"/>
      <c r="F832" s="83"/>
      <c r="G832" s="83"/>
      <c r="H832" s="83"/>
      <c r="I832" s="83"/>
      <c r="J832" s="54"/>
      <c r="K832" s="51"/>
      <c r="L832" s="51"/>
      <c r="M832" s="51"/>
      <c r="N832" s="51"/>
      <c r="O832" s="54"/>
      <c r="P832" s="42"/>
      <c r="Q832" s="75"/>
    </row>
    <row r="833" spans="1:17" ht="18.75">
      <c r="A833" s="51"/>
      <c r="B833" s="51"/>
      <c r="C833" s="51"/>
      <c r="D833" s="51"/>
      <c r="E833" s="51"/>
      <c r="F833" s="54"/>
      <c r="G833" s="54"/>
      <c r="H833" s="54"/>
      <c r="I833" s="54"/>
      <c r="J833" s="54"/>
      <c r="K833" s="51"/>
      <c r="L833" s="51"/>
      <c r="M833" s="51"/>
      <c r="N833" s="51"/>
      <c r="O833" s="54"/>
      <c r="P833" s="42"/>
      <c r="Q833" s="75"/>
    </row>
    <row r="834" spans="1:17" ht="93.75">
      <c r="A834" s="86" t="s">
        <v>151</v>
      </c>
      <c r="B834" s="177" t="s">
        <v>152</v>
      </c>
      <c r="C834" s="178"/>
      <c r="D834" s="179"/>
      <c r="E834" s="84" t="s">
        <v>164</v>
      </c>
      <c r="F834" s="177" t="s">
        <v>323</v>
      </c>
      <c r="G834" s="179"/>
      <c r="H834" s="84" t="s">
        <v>174</v>
      </c>
      <c r="I834" s="51"/>
      <c r="J834" s="51"/>
      <c r="K834" s="51"/>
      <c r="L834" s="54"/>
      <c r="M834" s="42"/>
      <c r="N834" s="113"/>
      <c r="O834" s="113"/>
      <c r="P834" s="75"/>
      <c r="Q834" s="75"/>
    </row>
    <row r="835" spans="1:17" ht="18.75">
      <c r="A835" s="85">
        <v>1</v>
      </c>
      <c r="B835" s="170">
        <v>2</v>
      </c>
      <c r="C835" s="172"/>
      <c r="D835" s="171"/>
      <c r="E835" s="85">
        <v>3</v>
      </c>
      <c r="F835" s="170">
        <v>4</v>
      </c>
      <c r="G835" s="171"/>
      <c r="H835" s="85">
        <v>5</v>
      </c>
      <c r="I835" s="51"/>
      <c r="J835" s="51"/>
      <c r="K835" s="51"/>
      <c r="L835" s="54"/>
      <c r="M835" s="42"/>
      <c r="N835" s="113"/>
      <c r="O835" s="113"/>
      <c r="P835" s="75"/>
      <c r="Q835" s="75"/>
    </row>
    <row r="836" spans="1:17" ht="93.75" customHeight="1">
      <c r="A836" s="86">
        <v>1</v>
      </c>
      <c r="B836" s="167" t="s">
        <v>453</v>
      </c>
      <c r="C836" s="168"/>
      <c r="D836" s="169"/>
      <c r="E836" s="86">
        <v>226</v>
      </c>
      <c r="F836" s="170">
        <v>1</v>
      </c>
      <c r="G836" s="171"/>
      <c r="H836" s="87">
        <f>50107.2+30000</f>
        <v>80107.2</v>
      </c>
      <c r="I836" s="51"/>
      <c r="J836" s="51"/>
      <c r="K836" s="51"/>
      <c r="L836" s="54"/>
      <c r="M836" s="42"/>
      <c r="N836" s="113"/>
      <c r="O836" s="113"/>
      <c r="P836" s="75"/>
      <c r="Q836" s="75"/>
    </row>
    <row r="837" spans="1:17" ht="18.75">
      <c r="A837" s="86"/>
      <c r="B837" s="170" t="s">
        <v>130</v>
      </c>
      <c r="C837" s="172"/>
      <c r="D837" s="171"/>
      <c r="E837" s="86"/>
      <c r="F837" s="170" t="s">
        <v>168</v>
      </c>
      <c r="G837" s="171"/>
      <c r="H837" s="104">
        <f>SUM(H836:H836)</f>
        <v>80107.2</v>
      </c>
      <c r="I837" s="51"/>
      <c r="J837" s="51"/>
      <c r="K837" s="51"/>
      <c r="L837" s="54"/>
      <c r="M837" s="42"/>
      <c r="N837" s="113"/>
      <c r="O837" s="113"/>
      <c r="P837" s="75"/>
      <c r="Q837" s="75"/>
    </row>
    <row r="838" spans="1:17" ht="18.75">
      <c r="A838" s="34"/>
      <c r="B838" s="51"/>
      <c r="C838" s="51"/>
      <c r="D838" s="34"/>
      <c r="E838" s="82"/>
      <c r="F838" s="54"/>
      <c r="G838" s="54"/>
      <c r="H838" s="51"/>
      <c r="I838" s="51"/>
      <c r="J838" s="51"/>
      <c r="K838" s="51"/>
      <c r="L838" s="51"/>
      <c r="M838" s="51"/>
      <c r="N838" s="51"/>
      <c r="O838" s="52"/>
      <c r="P838" s="42"/>
      <c r="Q838" s="75"/>
    </row>
    <row r="839" spans="1:17" ht="18.75">
      <c r="A839" s="51"/>
      <c r="B839" s="83" t="s">
        <v>454</v>
      </c>
      <c r="C839" s="83"/>
      <c r="D839" s="83"/>
      <c r="E839" s="83"/>
      <c r="F839" s="83"/>
      <c r="G839" s="83"/>
      <c r="H839" s="83"/>
      <c r="I839" s="83"/>
      <c r="J839" s="54"/>
      <c r="K839" s="51"/>
      <c r="L839" s="51"/>
      <c r="M839" s="51"/>
      <c r="N839" s="51"/>
      <c r="O839" s="54"/>
      <c r="P839" s="42"/>
      <c r="Q839" s="75"/>
    </row>
    <row r="840" spans="1:17" ht="18.75">
      <c r="A840" s="51"/>
      <c r="B840" s="51"/>
      <c r="C840" s="51"/>
      <c r="D840" s="51"/>
      <c r="E840" s="51"/>
      <c r="F840" s="54"/>
      <c r="G840" s="54"/>
      <c r="H840" s="54"/>
      <c r="I840" s="54"/>
      <c r="J840" s="54"/>
      <c r="K840" s="51"/>
      <c r="L840" s="51"/>
      <c r="M840" s="51"/>
      <c r="N840" s="51"/>
      <c r="O840" s="54"/>
      <c r="P840" s="42"/>
      <c r="Q840" s="75"/>
    </row>
    <row r="841" spans="1:17" ht="93.75">
      <c r="A841" s="86" t="s">
        <v>151</v>
      </c>
      <c r="B841" s="177" t="s">
        <v>152</v>
      </c>
      <c r="C841" s="178"/>
      <c r="D841" s="179"/>
      <c r="E841" s="84" t="s">
        <v>164</v>
      </c>
      <c r="F841" s="177" t="s">
        <v>323</v>
      </c>
      <c r="G841" s="179"/>
      <c r="H841" s="84" t="s">
        <v>174</v>
      </c>
      <c r="I841" s="51"/>
      <c r="J841" s="51"/>
      <c r="K841" s="51"/>
      <c r="L841" s="54"/>
      <c r="M841" s="42"/>
      <c r="N841" s="113"/>
      <c r="O841" s="113"/>
      <c r="P841" s="75"/>
      <c r="Q841" s="75"/>
    </row>
    <row r="842" spans="1:17" ht="18.75">
      <c r="A842" s="85">
        <v>1</v>
      </c>
      <c r="B842" s="170">
        <v>2</v>
      </c>
      <c r="C842" s="172"/>
      <c r="D842" s="171"/>
      <c r="E842" s="85">
        <v>3</v>
      </c>
      <c r="F842" s="170">
        <v>4</v>
      </c>
      <c r="G842" s="171"/>
      <c r="H842" s="85">
        <v>5</v>
      </c>
      <c r="I842" s="51"/>
      <c r="J842" s="51"/>
      <c r="K842" s="51"/>
      <c r="L842" s="54"/>
      <c r="M842" s="42"/>
      <c r="N842" s="113"/>
      <c r="O842" s="113"/>
      <c r="P842" s="75"/>
      <c r="Q842" s="75"/>
    </row>
    <row r="843" spans="1:17" ht="81" customHeight="1">
      <c r="A843" s="86">
        <v>1</v>
      </c>
      <c r="B843" s="167" t="s">
        <v>456</v>
      </c>
      <c r="C843" s="168"/>
      <c r="D843" s="169"/>
      <c r="E843" s="86">
        <v>226</v>
      </c>
      <c r="F843" s="170">
        <v>1</v>
      </c>
      <c r="G843" s="171"/>
      <c r="H843" s="87">
        <f>26400+49485</f>
        <v>75885</v>
      </c>
      <c r="I843" s="51"/>
      <c r="J843" s="51"/>
      <c r="K843" s="51"/>
      <c r="L843" s="54"/>
      <c r="M843" s="42"/>
      <c r="N843" s="113"/>
      <c r="O843" s="113"/>
      <c r="P843" s="75"/>
      <c r="Q843" s="75"/>
    </row>
    <row r="844" spans="1:17" ht="18.75">
      <c r="A844" s="86"/>
      <c r="B844" s="170" t="s">
        <v>130</v>
      </c>
      <c r="C844" s="172"/>
      <c r="D844" s="171"/>
      <c r="E844" s="86"/>
      <c r="F844" s="170" t="s">
        <v>168</v>
      </c>
      <c r="G844" s="171"/>
      <c r="H844" s="104">
        <f>SUM(H843:H843)</f>
        <v>75885</v>
      </c>
      <c r="I844" s="51"/>
      <c r="J844" s="51"/>
      <c r="K844" s="51"/>
      <c r="L844" s="54"/>
      <c r="M844" s="42"/>
      <c r="N844" s="113"/>
      <c r="O844" s="113"/>
      <c r="P844" s="75"/>
      <c r="Q844" s="75"/>
    </row>
    <row r="845" spans="1:17" ht="18.75">
      <c r="A845" s="34"/>
      <c r="B845" s="51"/>
      <c r="C845" s="51"/>
      <c r="D845" s="34"/>
      <c r="E845" s="82"/>
      <c r="F845" s="54"/>
      <c r="G845" s="54"/>
      <c r="H845" s="51"/>
      <c r="I845" s="51"/>
      <c r="J845" s="51"/>
      <c r="K845" s="51"/>
      <c r="L845" s="51"/>
      <c r="M845" s="51"/>
      <c r="N845" s="51"/>
      <c r="O845" s="52"/>
      <c r="P845" s="42"/>
      <c r="Q845" s="75"/>
    </row>
    <row r="846" spans="1:17" ht="18.75">
      <c r="A846" s="51"/>
      <c r="B846" s="51" t="s">
        <v>455</v>
      </c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2"/>
      <c r="P846" s="42"/>
      <c r="Q846" s="75"/>
    </row>
    <row r="847" spans="1:17" ht="18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2"/>
      <c r="P847" s="42"/>
      <c r="Q847" s="75"/>
    </row>
    <row r="848" spans="1:17" ht="56.25">
      <c r="A848" s="158" t="s">
        <v>151</v>
      </c>
      <c r="B848" s="187" t="s">
        <v>0</v>
      </c>
      <c r="C848" s="187"/>
      <c r="D848" s="187"/>
      <c r="E848" s="187" t="s">
        <v>153</v>
      </c>
      <c r="F848" s="187"/>
      <c r="G848" s="187" t="s">
        <v>186</v>
      </c>
      <c r="H848" s="187"/>
      <c r="I848" s="151" t="s">
        <v>187</v>
      </c>
      <c r="J848" s="151" t="s">
        <v>188</v>
      </c>
      <c r="K848" s="92"/>
      <c r="L848" s="92"/>
      <c r="M848" s="92"/>
      <c r="N848" s="51"/>
      <c r="O848" s="52"/>
      <c r="P848" s="42"/>
      <c r="Q848" s="75"/>
    </row>
    <row r="849" spans="1:17" ht="18.75">
      <c r="A849" s="148">
        <v>1</v>
      </c>
      <c r="B849" s="173">
        <v>2</v>
      </c>
      <c r="C849" s="174"/>
      <c r="D849" s="175"/>
      <c r="E849" s="176">
        <v>3</v>
      </c>
      <c r="F849" s="176"/>
      <c r="G849" s="176">
        <v>4</v>
      </c>
      <c r="H849" s="176"/>
      <c r="I849" s="148">
        <v>5</v>
      </c>
      <c r="J849" s="148">
        <v>6</v>
      </c>
      <c r="K849" s="157"/>
      <c r="L849" s="157"/>
      <c r="M849" s="157"/>
      <c r="N849" s="51"/>
      <c r="O849" s="52"/>
      <c r="P849" s="75" t="s">
        <v>284</v>
      </c>
      <c r="Q849" s="75"/>
    </row>
    <row r="850" spans="1:17" ht="42.75" customHeight="1">
      <c r="A850" s="47"/>
      <c r="B850" s="180" t="s">
        <v>370</v>
      </c>
      <c r="C850" s="180"/>
      <c r="D850" s="180"/>
      <c r="E850" s="176"/>
      <c r="F850" s="176"/>
      <c r="G850" s="181"/>
      <c r="H850" s="181"/>
      <c r="I850" s="50"/>
      <c r="J850" s="50"/>
      <c r="K850" s="51"/>
      <c r="L850" s="51"/>
      <c r="M850" s="51"/>
      <c r="N850" s="51"/>
      <c r="O850" s="52"/>
      <c r="P850" s="75"/>
      <c r="Q850" s="75"/>
    </row>
    <row r="851" spans="1:17" ht="18.75">
      <c r="A851" s="47">
        <v>1</v>
      </c>
      <c r="B851" s="182" t="s">
        <v>459</v>
      </c>
      <c r="C851" s="183"/>
      <c r="D851" s="184"/>
      <c r="E851" s="173">
        <v>310</v>
      </c>
      <c r="F851" s="175"/>
      <c r="G851" s="185">
        <v>4</v>
      </c>
      <c r="H851" s="186"/>
      <c r="I851" s="50">
        <f>J851/G851</f>
        <v>68375</v>
      </c>
      <c r="J851" s="50">
        <f>273500</f>
        <v>273500</v>
      </c>
      <c r="K851" s="51"/>
      <c r="L851" s="51"/>
      <c r="M851" s="51"/>
      <c r="N851" s="51"/>
      <c r="O851" s="52"/>
      <c r="P851" s="75">
        <v>14685.2</v>
      </c>
      <c r="Q851" s="75"/>
    </row>
    <row r="852" spans="1:17" ht="18.75">
      <c r="A852" s="47"/>
      <c r="B852" s="173" t="s">
        <v>130</v>
      </c>
      <c r="C852" s="174"/>
      <c r="D852" s="175"/>
      <c r="E852" s="176"/>
      <c r="F852" s="176"/>
      <c r="G852" s="176"/>
      <c r="H852" s="176"/>
      <c r="I852" s="47" t="s">
        <v>7</v>
      </c>
      <c r="J852" s="149">
        <f>SUM(J851:J851)</f>
        <v>273500</v>
      </c>
      <c r="K852" s="51"/>
      <c r="L852" s="51"/>
      <c r="M852" s="51"/>
      <c r="N852" s="51"/>
      <c r="O852" s="52"/>
      <c r="P852" s="42"/>
      <c r="Q852" s="75"/>
    </row>
    <row r="853" spans="1:17" ht="18.75">
      <c r="A853" s="34"/>
      <c r="B853" s="51"/>
      <c r="C853" s="51"/>
      <c r="D853" s="34"/>
      <c r="E853" s="82"/>
      <c r="F853" s="54"/>
      <c r="G853" s="54"/>
      <c r="H853" s="51"/>
      <c r="I853" s="51"/>
      <c r="J853" s="51"/>
      <c r="K853" s="51"/>
      <c r="L853" s="51"/>
      <c r="M853" s="51"/>
      <c r="N853" s="51"/>
      <c r="O853" s="52"/>
      <c r="P853" s="42"/>
      <c r="Q853" s="75"/>
    </row>
    <row r="854" spans="1:17" ht="18.75">
      <c r="A854" s="34"/>
      <c r="B854" s="51" t="s">
        <v>354</v>
      </c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2"/>
      <c r="P854" s="42"/>
      <c r="Q854" s="75"/>
    </row>
    <row r="855" spans="1:17" ht="18.75">
      <c r="A855" s="34"/>
      <c r="B855" s="51" t="s">
        <v>176</v>
      </c>
      <c r="C855" s="51"/>
      <c r="D855" s="110">
        <v>321</v>
      </c>
      <c r="E855" s="110"/>
      <c r="F855" s="110"/>
      <c r="G855" s="54"/>
      <c r="H855" s="51"/>
      <c r="I855" s="51"/>
      <c r="J855" s="51"/>
      <c r="K855" s="51"/>
      <c r="L855" s="51"/>
      <c r="M855" s="51"/>
      <c r="N855" s="51"/>
      <c r="O855" s="52"/>
      <c r="P855" s="42"/>
      <c r="Q855" s="75"/>
    </row>
    <row r="856" spans="1:17" ht="18.75">
      <c r="A856" s="34"/>
      <c r="B856" s="51" t="s">
        <v>149</v>
      </c>
      <c r="C856" s="51"/>
      <c r="D856" s="34"/>
      <c r="E856" s="111" t="s">
        <v>219</v>
      </c>
      <c r="F856" s="112"/>
      <c r="G856" s="54"/>
      <c r="H856" s="51"/>
      <c r="I856" s="51"/>
      <c r="J856" s="51"/>
      <c r="K856" s="51"/>
      <c r="L856" s="51"/>
      <c r="M856" s="51"/>
      <c r="N856" s="51"/>
      <c r="O856" s="52"/>
      <c r="P856" s="42"/>
      <c r="Q856" s="75"/>
    </row>
    <row r="857" spans="1:17" ht="18.75">
      <c r="A857" s="34"/>
      <c r="B857" s="51"/>
      <c r="C857" s="51"/>
      <c r="D857" s="34"/>
      <c r="E857" s="82"/>
      <c r="F857" s="54"/>
      <c r="G857" s="54"/>
      <c r="H857" s="51"/>
      <c r="I857" s="51"/>
      <c r="J857" s="51"/>
      <c r="K857" s="51"/>
      <c r="L857" s="51"/>
      <c r="M857" s="51"/>
      <c r="N857" s="51"/>
      <c r="O857" s="52"/>
      <c r="P857" s="42"/>
      <c r="Q857" s="75"/>
    </row>
    <row r="858" spans="1:17" ht="18.75">
      <c r="A858" s="34"/>
      <c r="B858" s="55" t="s">
        <v>435</v>
      </c>
      <c r="C858" s="56"/>
      <c r="D858" s="56"/>
      <c r="E858" s="56"/>
      <c r="F858" s="56"/>
      <c r="G858" s="56"/>
      <c r="H858" s="56"/>
      <c r="I858" s="56"/>
      <c r="J858" s="56"/>
      <c r="K858" s="56"/>
      <c r="L858" s="51"/>
      <c r="M858" s="51"/>
      <c r="N858" s="51"/>
      <c r="O858" s="52"/>
      <c r="P858" s="42"/>
      <c r="Q858" s="75"/>
    </row>
    <row r="859" spans="1:17" ht="18.75">
      <c r="A859" s="34"/>
      <c r="B859" s="51"/>
      <c r="C859" s="51"/>
      <c r="D859" s="34"/>
      <c r="E859" s="82"/>
      <c r="F859" s="54"/>
      <c r="G859" s="54"/>
      <c r="H859" s="51"/>
      <c r="I859" s="51"/>
      <c r="J859" s="51"/>
      <c r="K859" s="51"/>
      <c r="L859" s="51"/>
      <c r="M859" s="51"/>
      <c r="N859" s="51"/>
      <c r="O859" s="52"/>
      <c r="P859" s="42"/>
      <c r="Q859" s="75"/>
    </row>
    <row r="860" spans="1:16" ht="93.75">
      <c r="A860" s="86" t="s">
        <v>151</v>
      </c>
      <c r="B860" s="177" t="s">
        <v>152</v>
      </c>
      <c r="C860" s="178"/>
      <c r="D860" s="179"/>
      <c r="E860" s="84" t="s">
        <v>164</v>
      </c>
      <c r="F860" s="177" t="s">
        <v>323</v>
      </c>
      <c r="G860" s="179"/>
      <c r="H860" s="84" t="s">
        <v>174</v>
      </c>
      <c r="I860" s="51"/>
      <c r="J860" s="51"/>
      <c r="K860" s="51"/>
      <c r="L860" s="51"/>
      <c r="M860" s="52"/>
      <c r="N860" s="42"/>
      <c r="O860" s="113"/>
      <c r="P860" s="75"/>
    </row>
    <row r="861" spans="1:16" ht="18.75">
      <c r="A861" s="85">
        <v>1</v>
      </c>
      <c r="B861" s="170">
        <v>2</v>
      </c>
      <c r="C861" s="172"/>
      <c r="D861" s="171"/>
      <c r="E861" s="85">
        <v>3</v>
      </c>
      <c r="F861" s="170">
        <v>4</v>
      </c>
      <c r="G861" s="171"/>
      <c r="H861" s="85">
        <v>7</v>
      </c>
      <c r="I861" s="51"/>
      <c r="J861" s="51"/>
      <c r="K861" s="51"/>
      <c r="L861" s="51"/>
      <c r="M861" s="52"/>
      <c r="N861" s="42"/>
      <c r="O861" s="113"/>
      <c r="P861" s="75">
        <f>O862</f>
        <v>0</v>
      </c>
    </row>
    <row r="862" spans="1:16" ht="92.25" customHeight="1">
      <c r="A862" s="86">
        <v>1</v>
      </c>
      <c r="B862" s="167" t="s">
        <v>322</v>
      </c>
      <c r="C862" s="168"/>
      <c r="D862" s="169"/>
      <c r="E862" s="86">
        <v>262</v>
      </c>
      <c r="F862" s="170">
        <v>1</v>
      </c>
      <c r="G862" s="171"/>
      <c r="H862" s="87">
        <f>93316.85-2223.22</f>
        <v>91093.63</v>
      </c>
      <c r="I862" s="51"/>
      <c r="J862" s="51"/>
      <c r="K862" s="51"/>
      <c r="L862" s="51"/>
      <c r="M862" s="52"/>
      <c r="N862" s="42"/>
      <c r="O862" s="113"/>
      <c r="P862" s="75">
        <f>H862-O862</f>
        <v>91093.63</v>
      </c>
    </row>
    <row r="863" spans="1:16" ht="65.25" customHeight="1">
      <c r="A863" s="86">
        <v>2</v>
      </c>
      <c r="B863" s="167" t="s">
        <v>457</v>
      </c>
      <c r="C863" s="168"/>
      <c r="D863" s="169"/>
      <c r="E863" s="86">
        <v>262</v>
      </c>
      <c r="F863" s="170">
        <v>1</v>
      </c>
      <c r="G863" s="171"/>
      <c r="H863" s="87">
        <v>57750</v>
      </c>
      <c r="I863" s="51"/>
      <c r="J863" s="51"/>
      <c r="K863" s="51"/>
      <c r="L863" s="51"/>
      <c r="M863" s="52"/>
      <c r="N863" s="42"/>
      <c r="O863" s="113"/>
      <c r="P863" s="75">
        <f>H863-O863</f>
        <v>57750</v>
      </c>
    </row>
    <row r="864" spans="1:16" ht="18.75">
      <c r="A864" s="86"/>
      <c r="B864" s="170" t="s">
        <v>130</v>
      </c>
      <c r="C864" s="172"/>
      <c r="D864" s="171"/>
      <c r="E864" s="86"/>
      <c r="F864" s="170" t="s">
        <v>168</v>
      </c>
      <c r="G864" s="171"/>
      <c r="H864" s="104">
        <f>SUM(H862:H863)</f>
        <v>148843.63</v>
      </c>
      <c r="I864" s="51"/>
      <c r="J864" s="51"/>
      <c r="K864" s="51"/>
      <c r="L864" s="51"/>
      <c r="M864" s="52"/>
      <c r="N864" s="42"/>
      <c r="O864" s="113"/>
      <c r="P864" s="75"/>
    </row>
    <row r="865" spans="1:17" ht="18.75">
      <c r="A865" s="34"/>
      <c r="B865" s="51"/>
      <c r="C865" s="51"/>
      <c r="D865" s="34"/>
      <c r="E865" s="82"/>
      <c r="F865" s="54"/>
      <c r="G865" s="54"/>
      <c r="H865" s="51"/>
      <c r="I865" s="51"/>
      <c r="J865" s="51"/>
      <c r="K865" s="51"/>
      <c r="L865" s="51"/>
      <c r="M865" s="51"/>
      <c r="N865" s="51"/>
      <c r="O865" s="52"/>
      <c r="P865" s="42"/>
      <c r="Q865" s="75"/>
    </row>
    <row r="866" spans="1:16" ht="18.75">
      <c r="A866" s="54"/>
      <c r="B866" s="53"/>
      <c r="C866" s="53"/>
      <c r="D866" s="53"/>
      <c r="E866" s="53"/>
      <c r="F866" s="53"/>
      <c r="G866" s="53"/>
      <c r="H866" s="53"/>
      <c r="I866" s="54"/>
      <c r="J866" s="63"/>
      <c r="K866" s="63"/>
      <c r="L866" s="51"/>
      <c r="M866" s="51"/>
      <c r="N866" s="51"/>
      <c r="O866" s="52"/>
      <c r="P866" s="42"/>
    </row>
    <row r="867" spans="1:16" ht="18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2"/>
      <c r="P867" s="42"/>
    </row>
    <row r="868" spans="1:16" ht="18.75">
      <c r="A868" s="51"/>
      <c r="B868" s="51"/>
      <c r="C868" s="51"/>
      <c r="D868" s="51"/>
      <c r="E868" s="51"/>
      <c r="F868" s="103"/>
      <c r="G868" s="103"/>
      <c r="H868" s="165"/>
      <c r="I868" s="165"/>
      <c r="J868" s="165"/>
      <c r="K868" s="157"/>
      <c r="L868" s="157"/>
      <c r="M868" s="51"/>
      <c r="N868" s="51"/>
      <c r="O868" s="52"/>
      <c r="P868" s="42"/>
    </row>
    <row r="869" spans="1:16" ht="18.75">
      <c r="A869" s="114" t="s">
        <v>220</v>
      </c>
      <c r="B869" s="114"/>
      <c r="C869" s="51"/>
      <c r="D869" s="51"/>
      <c r="E869" s="51"/>
      <c r="F869" s="51"/>
      <c r="G869" s="103"/>
      <c r="H869" s="51"/>
      <c r="I869" s="51"/>
      <c r="J869" s="51"/>
      <c r="K869" s="51"/>
      <c r="L869" s="51"/>
      <c r="M869" s="51"/>
      <c r="N869" s="51"/>
      <c r="O869" s="52"/>
      <c r="P869" s="42"/>
    </row>
    <row r="870" spans="1:16" ht="18.75">
      <c r="A870" s="114" t="s">
        <v>221</v>
      </c>
      <c r="B870" s="114"/>
      <c r="C870" s="110"/>
      <c r="D870" s="51"/>
      <c r="E870" s="166" t="s">
        <v>263</v>
      </c>
      <c r="F870" s="166"/>
      <c r="G870" s="166"/>
      <c r="H870" s="54"/>
      <c r="I870" s="51"/>
      <c r="J870" s="51"/>
      <c r="K870" s="51"/>
      <c r="L870" s="51"/>
      <c r="M870" s="51"/>
      <c r="N870" s="51"/>
      <c r="O870" s="52"/>
      <c r="P870" s="42"/>
    </row>
    <row r="871" spans="1:16" ht="18.75">
      <c r="A871" s="51"/>
      <c r="B871" s="129" t="s">
        <v>222</v>
      </c>
      <c r="C871" s="51" t="s">
        <v>3</v>
      </c>
      <c r="D871" s="51"/>
      <c r="E871" s="51" t="s">
        <v>144</v>
      </c>
      <c r="F871" s="51"/>
      <c r="G871" s="51"/>
      <c r="H871" s="51"/>
      <c r="I871" s="51"/>
      <c r="J871" s="51"/>
      <c r="K871" s="51"/>
      <c r="L871" s="51"/>
      <c r="M871" s="51"/>
      <c r="N871" s="51"/>
      <c r="O871" s="52"/>
      <c r="P871" s="42"/>
    </row>
    <row r="872" spans="1:16" ht="18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41"/>
      <c r="P872" s="42"/>
    </row>
  </sheetData>
  <sheetProtection/>
  <mergeCells count="1296">
    <mergeCell ref="G17:K18"/>
    <mergeCell ref="O18:O19"/>
    <mergeCell ref="G19:K19"/>
    <mergeCell ref="L3:O3"/>
    <mergeCell ref="L4:O4"/>
    <mergeCell ref="L6:O9"/>
    <mergeCell ref="N11:O11"/>
    <mergeCell ref="L14:O14"/>
    <mergeCell ref="B21:O21"/>
    <mergeCell ref="A23:D25"/>
    <mergeCell ref="E23:E25"/>
    <mergeCell ref="F23:F25"/>
    <mergeCell ref="G23:G25"/>
    <mergeCell ref="H23:N23"/>
    <mergeCell ref="O23:O25"/>
    <mergeCell ref="H24:N24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B103:E103"/>
    <mergeCell ref="F103:G103"/>
    <mergeCell ref="J103:K103"/>
    <mergeCell ref="A90:D90"/>
    <mergeCell ref="A91:D91"/>
    <mergeCell ref="A92:D92"/>
    <mergeCell ref="A93:D93"/>
    <mergeCell ref="B104:E104"/>
    <mergeCell ref="F104:G104"/>
    <mergeCell ref="J104:K104"/>
    <mergeCell ref="A105:A106"/>
    <mergeCell ref="B105:E106"/>
    <mergeCell ref="F105:G105"/>
    <mergeCell ref="H105:H106"/>
    <mergeCell ref="I105:I106"/>
    <mergeCell ref="J105:K105"/>
    <mergeCell ref="F106:G106"/>
    <mergeCell ref="J106:K106"/>
    <mergeCell ref="B107:E107"/>
    <mergeCell ref="F107:G107"/>
    <mergeCell ref="J107:K107"/>
    <mergeCell ref="B111:E111"/>
    <mergeCell ref="F111:G111"/>
    <mergeCell ref="I111:J111"/>
    <mergeCell ref="B112:E112"/>
    <mergeCell ref="F112:G112"/>
    <mergeCell ref="I112:J112"/>
    <mergeCell ref="B113:E113"/>
    <mergeCell ref="F113:G113"/>
    <mergeCell ref="I113:J113"/>
    <mergeCell ref="B114:E114"/>
    <mergeCell ref="F114:G114"/>
    <mergeCell ref="I114:J114"/>
    <mergeCell ref="B118:E118"/>
    <mergeCell ref="F118:G118"/>
    <mergeCell ref="B119:E119"/>
    <mergeCell ref="F119:G119"/>
    <mergeCell ref="B120:E120"/>
    <mergeCell ref="F120:G120"/>
    <mergeCell ref="B121:E121"/>
    <mergeCell ref="F121:G121"/>
    <mergeCell ref="B125:E125"/>
    <mergeCell ref="F125:G125"/>
    <mergeCell ref="B126:E126"/>
    <mergeCell ref="F126:G126"/>
    <mergeCell ref="B127:E127"/>
    <mergeCell ref="F127:G127"/>
    <mergeCell ref="B128:E128"/>
    <mergeCell ref="F128:G128"/>
    <mergeCell ref="B137:C137"/>
    <mergeCell ref="E137:F137"/>
    <mergeCell ref="G137:H137"/>
    <mergeCell ref="B138:C138"/>
    <mergeCell ref="E138:F138"/>
    <mergeCell ref="G138:H138"/>
    <mergeCell ref="B139:C139"/>
    <mergeCell ref="E139:F139"/>
    <mergeCell ref="G139:H139"/>
    <mergeCell ref="B140:C140"/>
    <mergeCell ref="E140:F140"/>
    <mergeCell ref="G140:H140"/>
    <mergeCell ref="B144:E144"/>
    <mergeCell ref="F144:G144"/>
    <mergeCell ref="B145:E145"/>
    <mergeCell ref="F145:G145"/>
    <mergeCell ref="B146:E146"/>
    <mergeCell ref="F146:G146"/>
    <mergeCell ref="B147:E147"/>
    <mergeCell ref="F147:G147"/>
    <mergeCell ref="B148:E148"/>
    <mergeCell ref="F148:G148"/>
    <mergeCell ref="B149:E149"/>
    <mergeCell ref="F149:G149"/>
    <mergeCell ref="B150:E150"/>
    <mergeCell ref="F150:G150"/>
    <mergeCell ref="B154:E154"/>
    <mergeCell ref="F154:G154"/>
    <mergeCell ref="B155:E155"/>
    <mergeCell ref="F155:G155"/>
    <mergeCell ref="B156:E156"/>
    <mergeCell ref="F156:G156"/>
    <mergeCell ref="B157:E157"/>
    <mergeCell ref="F157:G157"/>
    <mergeCell ref="B161:E161"/>
    <mergeCell ref="F161:G161"/>
    <mergeCell ref="B162:E162"/>
    <mergeCell ref="F162:G162"/>
    <mergeCell ref="B163:E163"/>
    <mergeCell ref="F163:G163"/>
    <mergeCell ref="B164:E164"/>
    <mergeCell ref="F164:G164"/>
    <mergeCell ref="B165:E165"/>
    <mergeCell ref="F165:G165"/>
    <mergeCell ref="B169:D169"/>
    <mergeCell ref="E169:F169"/>
    <mergeCell ref="G169:H169"/>
    <mergeCell ref="B170:D170"/>
    <mergeCell ref="E170:F170"/>
    <mergeCell ref="G170:H170"/>
    <mergeCell ref="B171:D171"/>
    <mergeCell ref="E171:F171"/>
    <mergeCell ref="G171:H171"/>
    <mergeCell ref="B172:D172"/>
    <mergeCell ref="E172:F172"/>
    <mergeCell ref="G172:H172"/>
    <mergeCell ref="B173:D173"/>
    <mergeCell ref="E173:F173"/>
    <mergeCell ref="G173:H173"/>
    <mergeCell ref="B177:D177"/>
    <mergeCell ref="E177:F177"/>
    <mergeCell ref="G177:H177"/>
    <mergeCell ref="B178:D178"/>
    <mergeCell ref="E178:F178"/>
    <mergeCell ref="G178:H178"/>
    <mergeCell ref="B179:D179"/>
    <mergeCell ref="E179:F179"/>
    <mergeCell ref="G179:H179"/>
    <mergeCell ref="B180:D180"/>
    <mergeCell ref="E180:F180"/>
    <mergeCell ref="G180:H180"/>
    <mergeCell ref="B188:E188"/>
    <mergeCell ref="F188:G188"/>
    <mergeCell ref="J188:K188"/>
    <mergeCell ref="B189:E189"/>
    <mergeCell ref="F189:G189"/>
    <mergeCell ref="J189:K189"/>
    <mergeCell ref="A190:A191"/>
    <mergeCell ref="B190:E191"/>
    <mergeCell ref="F190:G190"/>
    <mergeCell ref="H190:H191"/>
    <mergeCell ref="I190:I191"/>
    <mergeCell ref="J190:K190"/>
    <mergeCell ref="F191:G191"/>
    <mergeCell ref="J191:K191"/>
    <mergeCell ref="B192:E192"/>
    <mergeCell ref="F192:G192"/>
    <mergeCell ref="J192:K192"/>
    <mergeCell ref="B196:E196"/>
    <mergeCell ref="F196:G196"/>
    <mergeCell ref="H196:I196"/>
    <mergeCell ref="B197:E197"/>
    <mergeCell ref="F197:G197"/>
    <mergeCell ref="H197:I197"/>
    <mergeCell ref="B198:E198"/>
    <mergeCell ref="F198:G198"/>
    <mergeCell ref="H198:I198"/>
    <mergeCell ref="B199:E199"/>
    <mergeCell ref="F199:G199"/>
    <mergeCell ref="H199:I199"/>
    <mergeCell ref="B203:E203"/>
    <mergeCell ref="F203:G203"/>
    <mergeCell ref="H203:I203"/>
    <mergeCell ref="B204:E204"/>
    <mergeCell ref="F204:G204"/>
    <mergeCell ref="H204:I204"/>
    <mergeCell ref="B205:E205"/>
    <mergeCell ref="F205:G205"/>
    <mergeCell ref="H205:I205"/>
    <mergeCell ref="B206:E206"/>
    <mergeCell ref="F206:G206"/>
    <mergeCell ref="H206:I206"/>
    <mergeCell ref="B207:E207"/>
    <mergeCell ref="F207:G207"/>
    <mergeCell ref="H207:I207"/>
    <mergeCell ref="B211:E211"/>
    <mergeCell ref="F211:G211"/>
    <mergeCell ref="H211:I211"/>
    <mergeCell ref="B212:E212"/>
    <mergeCell ref="F212:G212"/>
    <mergeCell ref="H212:I212"/>
    <mergeCell ref="B213:E213"/>
    <mergeCell ref="F213:G213"/>
    <mergeCell ref="H213:I213"/>
    <mergeCell ref="B214:E214"/>
    <mergeCell ref="F214:G214"/>
    <mergeCell ref="H214:I214"/>
    <mergeCell ref="B218:E218"/>
    <mergeCell ref="F218:G218"/>
    <mergeCell ref="I218:J218"/>
    <mergeCell ref="B219:E219"/>
    <mergeCell ref="F219:G219"/>
    <mergeCell ref="I219:J219"/>
    <mergeCell ref="B220:E220"/>
    <mergeCell ref="F220:G220"/>
    <mergeCell ref="I220:J220"/>
    <mergeCell ref="B221:E221"/>
    <mergeCell ref="F221:G221"/>
    <mergeCell ref="I221:J221"/>
    <mergeCell ref="B232:E232"/>
    <mergeCell ref="F232:G232"/>
    <mergeCell ref="B233:E233"/>
    <mergeCell ref="F233:G233"/>
    <mergeCell ref="B234:E234"/>
    <mergeCell ref="F234:G234"/>
    <mergeCell ref="B235:E235"/>
    <mergeCell ref="F235:G235"/>
    <mergeCell ref="B242:C242"/>
    <mergeCell ref="E242:F242"/>
    <mergeCell ref="G242:H242"/>
    <mergeCell ref="B243:C243"/>
    <mergeCell ref="E243:F243"/>
    <mergeCell ref="G243:H243"/>
    <mergeCell ref="B244:C244"/>
    <mergeCell ref="E244:F244"/>
    <mergeCell ref="G244:H244"/>
    <mergeCell ref="B245:C245"/>
    <mergeCell ref="E245:F245"/>
    <mergeCell ref="G245:H245"/>
    <mergeCell ref="B246:C246"/>
    <mergeCell ref="E246:F246"/>
    <mergeCell ref="G246:H246"/>
    <mergeCell ref="B250:D250"/>
    <mergeCell ref="E250:F250"/>
    <mergeCell ref="G250:H250"/>
    <mergeCell ref="B251:D251"/>
    <mergeCell ref="E251:F251"/>
    <mergeCell ref="G251:H251"/>
    <mergeCell ref="B252:D252"/>
    <mergeCell ref="E252:F252"/>
    <mergeCell ref="G252:H252"/>
    <mergeCell ref="B253:D253"/>
    <mergeCell ref="E253:F253"/>
    <mergeCell ref="G253:H253"/>
    <mergeCell ref="B254:D254"/>
    <mergeCell ref="E254:F254"/>
    <mergeCell ref="G254:H254"/>
    <mergeCell ref="B255:D255"/>
    <mergeCell ref="E255:F255"/>
    <mergeCell ref="G255:H255"/>
    <mergeCell ref="B256:D256"/>
    <mergeCell ref="E256:F256"/>
    <mergeCell ref="G256:H256"/>
    <mergeCell ref="B257:D257"/>
    <mergeCell ref="E257:F257"/>
    <mergeCell ref="G257:H257"/>
    <mergeCell ref="B262:D262"/>
    <mergeCell ref="E262:F262"/>
    <mergeCell ref="G262:H262"/>
    <mergeCell ref="B263:D263"/>
    <mergeCell ref="E263:F263"/>
    <mergeCell ref="G263:H263"/>
    <mergeCell ref="B264:D264"/>
    <mergeCell ref="E264:F264"/>
    <mergeCell ref="G264:H264"/>
    <mergeCell ref="B265:D265"/>
    <mergeCell ref="E265:F265"/>
    <mergeCell ref="G265:H265"/>
    <mergeCell ref="B274:D274"/>
    <mergeCell ref="E274:F274"/>
    <mergeCell ref="G274:H274"/>
    <mergeCell ref="B275:D275"/>
    <mergeCell ref="E275:F275"/>
    <mergeCell ref="G275:H275"/>
    <mergeCell ref="B276:D276"/>
    <mergeCell ref="E276:F276"/>
    <mergeCell ref="G276:H276"/>
    <mergeCell ref="P276:P277"/>
    <mergeCell ref="B277:D277"/>
    <mergeCell ref="E277:F277"/>
    <mergeCell ref="G277:H277"/>
    <mergeCell ref="B278:D278"/>
    <mergeCell ref="E278:F278"/>
    <mergeCell ref="G278:H278"/>
    <mergeCell ref="B279:D279"/>
    <mergeCell ref="E279:F279"/>
    <mergeCell ref="G279:H279"/>
    <mergeCell ref="B283:D283"/>
    <mergeCell ref="E283:F283"/>
    <mergeCell ref="G283:H283"/>
    <mergeCell ref="B284:D284"/>
    <mergeCell ref="E284:F284"/>
    <mergeCell ref="G284:H284"/>
    <mergeCell ref="B285:D285"/>
    <mergeCell ref="E285:F285"/>
    <mergeCell ref="G285:H285"/>
    <mergeCell ref="B286:D286"/>
    <mergeCell ref="E286:F286"/>
    <mergeCell ref="G286:H286"/>
    <mergeCell ref="B287:D287"/>
    <mergeCell ref="E287:F287"/>
    <mergeCell ref="G287:H287"/>
    <mergeCell ref="B288:D288"/>
    <mergeCell ref="E288:F288"/>
    <mergeCell ref="G288:H288"/>
    <mergeCell ref="B289:D289"/>
    <mergeCell ref="E289:F289"/>
    <mergeCell ref="G289:H289"/>
    <mergeCell ref="B290:D290"/>
    <mergeCell ref="E290:F290"/>
    <mergeCell ref="G290:H290"/>
    <mergeCell ref="B291:D291"/>
    <mergeCell ref="E291:F291"/>
    <mergeCell ref="G291:H291"/>
    <mergeCell ref="B292:D292"/>
    <mergeCell ref="E292:F292"/>
    <mergeCell ref="G292:H292"/>
    <mergeCell ref="B296:D296"/>
    <mergeCell ref="E296:F296"/>
    <mergeCell ref="G296:H296"/>
    <mergeCell ref="B297:D297"/>
    <mergeCell ref="E297:F297"/>
    <mergeCell ref="G297:H297"/>
    <mergeCell ref="B298:D298"/>
    <mergeCell ref="E298:F298"/>
    <mergeCell ref="G298:H298"/>
    <mergeCell ref="B299:D299"/>
    <mergeCell ref="E299:F299"/>
    <mergeCell ref="G299:H299"/>
    <mergeCell ref="B300:D300"/>
    <mergeCell ref="E300:F300"/>
    <mergeCell ref="G300:H300"/>
    <mergeCell ref="B301:D301"/>
    <mergeCell ref="E301:F301"/>
    <mergeCell ref="G301:H301"/>
    <mergeCell ref="B302:D302"/>
    <mergeCell ref="E302:F302"/>
    <mergeCell ref="G302:H302"/>
    <mergeCell ref="B303:D303"/>
    <mergeCell ref="E303:F303"/>
    <mergeCell ref="G303:H303"/>
    <mergeCell ref="B304:D304"/>
    <mergeCell ref="E304:F304"/>
    <mergeCell ref="G304:H304"/>
    <mergeCell ref="B305:D305"/>
    <mergeCell ref="E305:F305"/>
    <mergeCell ref="G305:H305"/>
    <mergeCell ref="B306:D306"/>
    <mergeCell ref="E306:F306"/>
    <mergeCell ref="G306:H306"/>
    <mergeCell ref="B307:D307"/>
    <mergeCell ref="E307:F307"/>
    <mergeCell ref="G307:H307"/>
    <mergeCell ref="B311:D311"/>
    <mergeCell ref="E311:F311"/>
    <mergeCell ref="G311:H311"/>
    <mergeCell ref="B312:D312"/>
    <mergeCell ref="E312:F312"/>
    <mergeCell ref="G312:H312"/>
    <mergeCell ref="B313:D313"/>
    <mergeCell ref="E313:F313"/>
    <mergeCell ref="G313:H313"/>
    <mergeCell ref="B314:D314"/>
    <mergeCell ref="E314:F314"/>
    <mergeCell ref="G314:H314"/>
    <mergeCell ref="B315:D315"/>
    <mergeCell ref="E315:F315"/>
    <mergeCell ref="G315:H315"/>
    <mergeCell ref="B316:D316"/>
    <mergeCell ref="E316:F316"/>
    <mergeCell ref="G316:H316"/>
    <mergeCell ref="B319:D319"/>
    <mergeCell ref="E319:F319"/>
    <mergeCell ref="G319:H319"/>
    <mergeCell ref="B320:D320"/>
    <mergeCell ref="E320:F320"/>
    <mergeCell ref="G320:H320"/>
    <mergeCell ref="B321:D321"/>
    <mergeCell ref="E321:F321"/>
    <mergeCell ref="G321:H321"/>
    <mergeCell ref="B322:D322"/>
    <mergeCell ref="E322:F322"/>
    <mergeCell ref="G322:H322"/>
    <mergeCell ref="B325:D325"/>
    <mergeCell ref="E325:F325"/>
    <mergeCell ref="G325:H325"/>
    <mergeCell ref="B326:D326"/>
    <mergeCell ref="E326:F326"/>
    <mergeCell ref="G326:H326"/>
    <mergeCell ref="B327:D327"/>
    <mergeCell ref="E327:F327"/>
    <mergeCell ref="G327:H327"/>
    <mergeCell ref="B328:D328"/>
    <mergeCell ref="E328:F328"/>
    <mergeCell ref="G328:H328"/>
    <mergeCell ref="B329:D329"/>
    <mergeCell ref="E329:F329"/>
    <mergeCell ref="G329:H329"/>
    <mergeCell ref="B330:D330"/>
    <mergeCell ref="E330:F330"/>
    <mergeCell ref="G330:H330"/>
    <mergeCell ref="B340:D340"/>
    <mergeCell ref="E340:F340"/>
    <mergeCell ref="G340:H340"/>
    <mergeCell ref="B341:D341"/>
    <mergeCell ref="E341:F341"/>
    <mergeCell ref="G341:H341"/>
    <mergeCell ref="B342:D342"/>
    <mergeCell ref="E342:F342"/>
    <mergeCell ref="G342:H342"/>
    <mergeCell ref="B343:D343"/>
    <mergeCell ref="E343:F343"/>
    <mergeCell ref="G343:H343"/>
    <mergeCell ref="B344:D344"/>
    <mergeCell ref="E344:F344"/>
    <mergeCell ref="G344:H344"/>
    <mergeCell ref="B346:D346"/>
    <mergeCell ref="E346:F346"/>
    <mergeCell ref="G346:H346"/>
    <mergeCell ref="B347:D347"/>
    <mergeCell ref="E347:F347"/>
    <mergeCell ref="G347:H347"/>
    <mergeCell ref="B348:D348"/>
    <mergeCell ref="E348:F348"/>
    <mergeCell ref="G348:H348"/>
    <mergeCell ref="B349:D349"/>
    <mergeCell ref="E349:F349"/>
    <mergeCell ref="G349:H349"/>
    <mergeCell ref="B353:D353"/>
    <mergeCell ref="E353:F353"/>
    <mergeCell ref="G353:H353"/>
    <mergeCell ref="B354:D354"/>
    <mergeCell ref="E354:F354"/>
    <mergeCell ref="G354:H354"/>
    <mergeCell ref="B355:D355"/>
    <mergeCell ref="E355:F355"/>
    <mergeCell ref="G355:H355"/>
    <mergeCell ref="B358:D358"/>
    <mergeCell ref="E358:F358"/>
    <mergeCell ref="G358:H358"/>
    <mergeCell ref="B359:D359"/>
    <mergeCell ref="E359:F359"/>
    <mergeCell ref="G359:H359"/>
    <mergeCell ref="B360:D360"/>
    <mergeCell ref="E360:F360"/>
    <mergeCell ref="G360:H360"/>
    <mergeCell ref="B361:D361"/>
    <mergeCell ref="E361:F361"/>
    <mergeCell ref="G361:H361"/>
    <mergeCell ref="B365:D365"/>
    <mergeCell ref="E365:F365"/>
    <mergeCell ref="G365:H365"/>
    <mergeCell ref="B366:D366"/>
    <mergeCell ref="E366:F366"/>
    <mergeCell ref="G366:H366"/>
    <mergeCell ref="B367:D367"/>
    <mergeCell ref="E367:F367"/>
    <mergeCell ref="G367:H367"/>
    <mergeCell ref="B368:D368"/>
    <mergeCell ref="E368:F368"/>
    <mergeCell ref="G368:H368"/>
    <mergeCell ref="B372:D372"/>
    <mergeCell ref="E372:F372"/>
    <mergeCell ref="G372:H372"/>
    <mergeCell ref="B373:D373"/>
    <mergeCell ref="E373:F373"/>
    <mergeCell ref="G373:H373"/>
    <mergeCell ref="B374:D374"/>
    <mergeCell ref="E374:F374"/>
    <mergeCell ref="G374:H374"/>
    <mergeCell ref="B375:D375"/>
    <mergeCell ref="E375:F375"/>
    <mergeCell ref="G375:H375"/>
    <mergeCell ref="B379:D379"/>
    <mergeCell ref="E379:F379"/>
    <mergeCell ref="G379:H379"/>
    <mergeCell ref="B380:D380"/>
    <mergeCell ref="E380:F380"/>
    <mergeCell ref="G380:H380"/>
    <mergeCell ref="B381:D381"/>
    <mergeCell ref="E381:F381"/>
    <mergeCell ref="G381:H381"/>
    <mergeCell ref="B382:D382"/>
    <mergeCell ref="E382:F382"/>
    <mergeCell ref="G382:H382"/>
    <mergeCell ref="B390:C390"/>
    <mergeCell ref="E390:F390"/>
    <mergeCell ref="G390:H390"/>
    <mergeCell ref="B391:C391"/>
    <mergeCell ref="E391:F391"/>
    <mergeCell ref="G391:H391"/>
    <mergeCell ref="B392:C392"/>
    <mergeCell ref="E392:F392"/>
    <mergeCell ref="G392:H392"/>
    <mergeCell ref="B393:C393"/>
    <mergeCell ref="E393:F393"/>
    <mergeCell ref="G393:H393"/>
    <mergeCell ref="B397:D397"/>
    <mergeCell ref="E397:F397"/>
    <mergeCell ref="G397:H397"/>
    <mergeCell ref="B398:D398"/>
    <mergeCell ref="E398:F398"/>
    <mergeCell ref="G398:H398"/>
    <mergeCell ref="B399:D399"/>
    <mergeCell ref="E399:F399"/>
    <mergeCell ref="G399:H399"/>
    <mergeCell ref="B400:D400"/>
    <mergeCell ref="E400:F400"/>
    <mergeCell ref="G400:H400"/>
    <mergeCell ref="B404:D404"/>
    <mergeCell ref="E404:F404"/>
    <mergeCell ref="G404:H404"/>
    <mergeCell ref="B405:D405"/>
    <mergeCell ref="E405:F405"/>
    <mergeCell ref="G405:H405"/>
    <mergeCell ref="B406:D406"/>
    <mergeCell ref="E406:F406"/>
    <mergeCell ref="G406:H406"/>
    <mergeCell ref="B407:D407"/>
    <mergeCell ref="E407:F407"/>
    <mergeCell ref="G407:H407"/>
    <mergeCell ref="B408:D408"/>
    <mergeCell ref="E408:F408"/>
    <mergeCell ref="G408:H408"/>
    <mergeCell ref="B409:D409"/>
    <mergeCell ref="E409:F409"/>
    <mergeCell ref="G409:H409"/>
    <mergeCell ref="B410:D410"/>
    <mergeCell ref="E410:F410"/>
    <mergeCell ref="G410:H410"/>
    <mergeCell ref="B411:D411"/>
    <mergeCell ref="E411:F411"/>
    <mergeCell ref="G411:H411"/>
    <mergeCell ref="B412:D412"/>
    <mergeCell ref="E412:F412"/>
    <mergeCell ref="G412:H412"/>
    <mergeCell ref="B413:D413"/>
    <mergeCell ref="E413:F413"/>
    <mergeCell ref="G413:H413"/>
    <mergeCell ref="B414:D414"/>
    <mergeCell ref="E414:F414"/>
    <mergeCell ref="G414:H414"/>
    <mergeCell ref="B418:D418"/>
    <mergeCell ref="E418:F418"/>
    <mergeCell ref="G418:H418"/>
    <mergeCell ref="B419:D419"/>
    <mergeCell ref="E419:F419"/>
    <mergeCell ref="G419:H419"/>
    <mergeCell ref="B420:D420"/>
    <mergeCell ref="E420:F420"/>
    <mergeCell ref="G420:H420"/>
    <mergeCell ref="B421:D421"/>
    <mergeCell ref="E421:F421"/>
    <mergeCell ref="G421:H421"/>
    <mergeCell ref="B425:D425"/>
    <mergeCell ref="E425:F425"/>
    <mergeCell ref="G425:H425"/>
    <mergeCell ref="B426:D426"/>
    <mergeCell ref="E426:F426"/>
    <mergeCell ref="G426:H426"/>
    <mergeCell ref="B427:D427"/>
    <mergeCell ref="E427:F427"/>
    <mergeCell ref="G427:H427"/>
    <mergeCell ref="B428:D428"/>
    <mergeCell ref="E428:F428"/>
    <mergeCell ref="G428:H428"/>
    <mergeCell ref="B432:D432"/>
    <mergeCell ref="E432:F432"/>
    <mergeCell ref="G432:H432"/>
    <mergeCell ref="B433:D433"/>
    <mergeCell ref="E433:F433"/>
    <mergeCell ref="G433:H433"/>
    <mergeCell ref="B434:D434"/>
    <mergeCell ref="E434:F434"/>
    <mergeCell ref="G434:H434"/>
    <mergeCell ref="B435:D435"/>
    <mergeCell ref="E435:F435"/>
    <mergeCell ref="G435:H435"/>
    <mergeCell ref="B436:D436"/>
    <mergeCell ref="E436:F436"/>
    <mergeCell ref="G436:H436"/>
    <mergeCell ref="B437:D437"/>
    <mergeCell ref="E437:F437"/>
    <mergeCell ref="G437:H437"/>
    <mergeCell ref="B438:D438"/>
    <mergeCell ref="E438:F438"/>
    <mergeCell ref="G438:H438"/>
    <mergeCell ref="B439:D439"/>
    <mergeCell ref="E439:F439"/>
    <mergeCell ref="G439:H439"/>
    <mergeCell ref="B440:D440"/>
    <mergeCell ref="E440:F440"/>
    <mergeCell ref="G440:H440"/>
    <mergeCell ref="B444:D444"/>
    <mergeCell ref="E444:F444"/>
    <mergeCell ref="G444:H444"/>
    <mergeCell ref="B445:D445"/>
    <mergeCell ref="E445:F445"/>
    <mergeCell ref="G445:H445"/>
    <mergeCell ref="B446:D446"/>
    <mergeCell ref="E446:F446"/>
    <mergeCell ref="G446:H446"/>
    <mergeCell ref="B447:D447"/>
    <mergeCell ref="E447:F447"/>
    <mergeCell ref="G447:H447"/>
    <mergeCell ref="B451:D451"/>
    <mergeCell ref="E451:F451"/>
    <mergeCell ref="G451:H451"/>
    <mergeCell ref="B452:D452"/>
    <mergeCell ref="E452:F452"/>
    <mergeCell ref="G452:H452"/>
    <mergeCell ref="B453:D453"/>
    <mergeCell ref="E453:F453"/>
    <mergeCell ref="G453:H453"/>
    <mergeCell ref="B454:D454"/>
    <mergeCell ref="E454:F454"/>
    <mergeCell ref="G454:H454"/>
    <mergeCell ref="B455:D455"/>
    <mergeCell ref="E455:F455"/>
    <mergeCell ref="G455:H455"/>
    <mergeCell ref="B456:D456"/>
    <mergeCell ref="E456:F456"/>
    <mergeCell ref="G456:H456"/>
    <mergeCell ref="B457:D457"/>
    <mergeCell ref="E457:F457"/>
    <mergeCell ref="G457:H457"/>
    <mergeCell ref="B458:D458"/>
    <mergeCell ref="E458:F458"/>
    <mergeCell ref="G458:H458"/>
    <mergeCell ref="B459:D459"/>
    <mergeCell ref="E459:F459"/>
    <mergeCell ref="G459:H459"/>
    <mergeCell ref="B460:D460"/>
    <mergeCell ref="E460:F460"/>
    <mergeCell ref="G460:H460"/>
    <mergeCell ref="B461:D461"/>
    <mergeCell ref="E461:F461"/>
    <mergeCell ref="G461:H461"/>
    <mergeCell ref="B465:D465"/>
    <mergeCell ref="E465:F465"/>
    <mergeCell ref="G465:H465"/>
    <mergeCell ref="B466:D466"/>
    <mergeCell ref="E466:F466"/>
    <mergeCell ref="G466:H466"/>
    <mergeCell ref="B467:D467"/>
    <mergeCell ref="E467:F467"/>
    <mergeCell ref="G467:H467"/>
    <mergeCell ref="B468:D468"/>
    <mergeCell ref="E468:F468"/>
    <mergeCell ref="G468:H468"/>
    <mergeCell ref="B472:D472"/>
    <mergeCell ref="E472:F472"/>
    <mergeCell ref="G472:H472"/>
    <mergeCell ref="B473:D473"/>
    <mergeCell ref="E473:F473"/>
    <mergeCell ref="G473:H473"/>
    <mergeCell ref="B474:D474"/>
    <mergeCell ref="E474:F474"/>
    <mergeCell ref="G474:H474"/>
    <mergeCell ref="B475:D475"/>
    <mergeCell ref="E475:F475"/>
    <mergeCell ref="G475:H475"/>
    <mergeCell ref="B476:D476"/>
    <mergeCell ref="E476:F476"/>
    <mergeCell ref="G476:H476"/>
    <mergeCell ref="B477:D477"/>
    <mergeCell ref="E477:F477"/>
    <mergeCell ref="G477:H477"/>
    <mergeCell ref="B481:D481"/>
    <mergeCell ref="E481:F481"/>
    <mergeCell ref="G481:H481"/>
    <mergeCell ref="B482:D482"/>
    <mergeCell ref="E482:F482"/>
    <mergeCell ref="G482:H482"/>
    <mergeCell ref="B483:D483"/>
    <mergeCell ref="E483:F483"/>
    <mergeCell ref="G483:H483"/>
    <mergeCell ref="B484:D484"/>
    <mergeCell ref="E484:F484"/>
    <mergeCell ref="G484:H484"/>
    <mergeCell ref="B488:D488"/>
    <mergeCell ref="E488:F488"/>
    <mergeCell ref="G488:H488"/>
    <mergeCell ref="B489:D489"/>
    <mergeCell ref="E489:F489"/>
    <mergeCell ref="G489:H489"/>
    <mergeCell ref="B490:D490"/>
    <mergeCell ref="E490:F490"/>
    <mergeCell ref="G490:H490"/>
    <mergeCell ref="B491:D491"/>
    <mergeCell ref="E491:F491"/>
    <mergeCell ref="G491:H491"/>
    <mergeCell ref="B492:D492"/>
    <mergeCell ref="E492:F492"/>
    <mergeCell ref="G492:H492"/>
    <mergeCell ref="B496:D496"/>
    <mergeCell ref="E496:F496"/>
    <mergeCell ref="G496:H496"/>
    <mergeCell ref="B497:D497"/>
    <mergeCell ref="E497:F497"/>
    <mergeCell ref="G497:H497"/>
    <mergeCell ref="B498:D498"/>
    <mergeCell ref="E498:F498"/>
    <mergeCell ref="G498:H498"/>
    <mergeCell ref="B499:D499"/>
    <mergeCell ref="E499:F499"/>
    <mergeCell ref="G499:H499"/>
    <mergeCell ref="B500:D500"/>
    <mergeCell ref="E500:F500"/>
    <mergeCell ref="G500:H500"/>
    <mergeCell ref="B504:D504"/>
    <mergeCell ref="E504:F504"/>
    <mergeCell ref="G504:H504"/>
    <mergeCell ref="B505:D505"/>
    <mergeCell ref="E505:F505"/>
    <mergeCell ref="G505:H505"/>
    <mergeCell ref="B506:D506"/>
    <mergeCell ref="E506:F506"/>
    <mergeCell ref="G506:H506"/>
    <mergeCell ref="B507:D507"/>
    <mergeCell ref="E507:F507"/>
    <mergeCell ref="G507:H507"/>
    <mergeCell ref="B508:D508"/>
    <mergeCell ref="E508:F508"/>
    <mergeCell ref="G508:H508"/>
    <mergeCell ref="B509:D509"/>
    <mergeCell ref="E509:F509"/>
    <mergeCell ref="G509:H509"/>
    <mergeCell ref="B513:D513"/>
    <mergeCell ref="E513:F513"/>
    <mergeCell ref="G513:H513"/>
    <mergeCell ref="B514:D514"/>
    <mergeCell ref="E514:F514"/>
    <mergeCell ref="G514:H514"/>
    <mergeCell ref="B515:D515"/>
    <mergeCell ref="E515:F515"/>
    <mergeCell ref="G515:H515"/>
    <mergeCell ref="B516:D516"/>
    <mergeCell ref="E516:F516"/>
    <mergeCell ref="G516:H516"/>
    <mergeCell ref="B520:D520"/>
    <mergeCell ref="E520:F520"/>
    <mergeCell ref="G520:H520"/>
    <mergeCell ref="B521:D521"/>
    <mergeCell ref="E521:F521"/>
    <mergeCell ref="G521:H521"/>
    <mergeCell ref="B522:D522"/>
    <mergeCell ref="E522:F522"/>
    <mergeCell ref="G522:H522"/>
    <mergeCell ref="B523:D523"/>
    <mergeCell ref="E523:F523"/>
    <mergeCell ref="G523:H523"/>
    <mergeCell ref="B524:D524"/>
    <mergeCell ref="E524:F524"/>
    <mergeCell ref="G524:H524"/>
    <mergeCell ref="B525:D525"/>
    <mergeCell ref="E525:F525"/>
    <mergeCell ref="G525:H525"/>
    <mergeCell ref="B526:D526"/>
    <mergeCell ref="E526:F526"/>
    <mergeCell ref="G526:H526"/>
    <mergeCell ref="B527:D527"/>
    <mergeCell ref="E527:F527"/>
    <mergeCell ref="G527:H527"/>
    <mergeCell ref="B528:D528"/>
    <mergeCell ref="E528:F528"/>
    <mergeCell ref="G528:H528"/>
    <mergeCell ref="B529:D529"/>
    <mergeCell ref="E529:F529"/>
    <mergeCell ref="G529:H529"/>
    <mergeCell ref="B530:D530"/>
    <mergeCell ref="E530:F530"/>
    <mergeCell ref="G530:H530"/>
    <mergeCell ref="B531:D531"/>
    <mergeCell ref="E531:F531"/>
    <mergeCell ref="G531:H531"/>
    <mergeCell ref="B535:D535"/>
    <mergeCell ref="E535:F535"/>
    <mergeCell ref="G535:H535"/>
    <mergeCell ref="B536:D536"/>
    <mergeCell ref="E536:F536"/>
    <mergeCell ref="G536:H536"/>
    <mergeCell ref="B537:D537"/>
    <mergeCell ref="E537:F537"/>
    <mergeCell ref="G537:H537"/>
    <mergeCell ref="B538:D538"/>
    <mergeCell ref="E538:F538"/>
    <mergeCell ref="G538:H538"/>
    <mergeCell ref="B539:D539"/>
    <mergeCell ref="E539:F539"/>
    <mergeCell ref="G539:H539"/>
    <mergeCell ref="B540:D540"/>
    <mergeCell ref="E540:F540"/>
    <mergeCell ref="G540:H540"/>
    <mergeCell ref="B549:E549"/>
    <mergeCell ref="F549:G549"/>
    <mergeCell ref="J549:K549"/>
    <mergeCell ref="B550:E550"/>
    <mergeCell ref="F550:G550"/>
    <mergeCell ref="J550:K550"/>
    <mergeCell ref="B551:E551"/>
    <mergeCell ref="F551:G551"/>
    <mergeCell ref="J551:K551"/>
    <mergeCell ref="B552:E552"/>
    <mergeCell ref="F552:G552"/>
    <mergeCell ref="J552:K552"/>
    <mergeCell ref="B553:E553"/>
    <mergeCell ref="F553:G553"/>
    <mergeCell ref="J553:K553"/>
    <mergeCell ref="B557:E557"/>
    <mergeCell ref="F557:G557"/>
    <mergeCell ref="I557:J557"/>
    <mergeCell ref="B558:E558"/>
    <mergeCell ref="F558:G558"/>
    <mergeCell ref="I558:J558"/>
    <mergeCell ref="B559:E559"/>
    <mergeCell ref="F559:G559"/>
    <mergeCell ref="I559:J559"/>
    <mergeCell ref="B560:E560"/>
    <mergeCell ref="F560:G560"/>
    <mergeCell ref="I560:J560"/>
    <mergeCell ref="B561:E561"/>
    <mergeCell ref="F561:G561"/>
    <mergeCell ref="I561:J561"/>
    <mergeCell ref="B569:D569"/>
    <mergeCell ref="E569:F569"/>
    <mergeCell ref="G569:H569"/>
    <mergeCell ref="B570:D570"/>
    <mergeCell ref="E570:F570"/>
    <mergeCell ref="G570:H570"/>
    <mergeCell ref="B571:D571"/>
    <mergeCell ref="E571:F571"/>
    <mergeCell ref="G571:H571"/>
    <mergeCell ref="B572:D572"/>
    <mergeCell ref="E572:F572"/>
    <mergeCell ref="G572:H572"/>
    <mergeCell ref="B576:D576"/>
    <mergeCell ref="E576:F576"/>
    <mergeCell ref="G576:H576"/>
    <mergeCell ref="J576:K576"/>
    <mergeCell ref="B577:D577"/>
    <mergeCell ref="E577:F577"/>
    <mergeCell ref="G577:H577"/>
    <mergeCell ref="J577:K577"/>
    <mergeCell ref="B578:D578"/>
    <mergeCell ref="E578:F578"/>
    <mergeCell ref="G578:H578"/>
    <mergeCell ref="J578:K578"/>
    <mergeCell ref="B579:D579"/>
    <mergeCell ref="E579:F579"/>
    <mergeCell ref="G579:H579"/>
    <mergeCell ref="J579:K579"/>
    <mergeCell ref="B583:D583"/>
    <mergeCell ref="E583:F583"/>
    <mergeCell ref="G583:H583"/>
    <mergeCell ref="B584:D584"/>
    <mergeCell ref="E584:F584"/>
    <mergeCell ref="G584:H584"/>
    <mergeCell ref="B585:D585"/>
    <mergeCell ref="E585:F585"/>
    <mergeCell ref="G585:H585"/>
    <mergeCell ref="B586:D586"/>
    <mergeCell ref="E586:F586"/>
    <mergeCell ref="G586:H586"/>
    <mergeCell ref="B590:E590"/>
    <mergeCell ref="F590:G590"/>
    <mergeCell ref="J590:K590"/>
    <mergeCell ref="B591:E591"/>
    <mergeCell ref="F591:G591"/>
    <mergeCell ref="J591:K591"/>
    <mergeCell ref="B592:E592"/>
    <mergeCell ref="F592:G592"/>
    <mergeCell ref="J592:K592"/>
    <mergeCell ref="B593:E593"/>
    <mergeCell ref="F593:G593"/>
    <mergeCell ref="J593:K593"/>
    <mergeCell ref="B597:E597"/>
    <mergeCell ref="F597:G597"/>
    <mergeCell ref="I597:J597"/>
    <mergeCell ref="B598:E598"/>
    <mergeCell ref="F598:G598"/>
    <mergeCell ref="I598:J598"/>
    <mergeCell ref="B599:E599"/>
    <mergeCell ref="F599:G599"/>
    <mergeCell ref="I599:J599"/>
    <mergeCell ref="B600:E600"/>
    <mergeCell ref="F600:G600"/>
    <mergeCell ref="I600:J600"/>
    <mergeCell ref="B608:D608"/>
    <mergeCell ref="E608:F608"/>
    <mergeCell ref="G608:H608"/>
    <mergeCell ref="B609:D609"/>
    <mergeCell ref="E609:F609"/>
    <mergeCell ref="G609:H609"/>
    <mergeCell ref="B610:D610"/>
    <mergeCell ref="E610:F610"/>
    <mergeCell ref="G610:H610"/>
    <mergeCell ref="B611:D611"/>
    <mergeCell ref="E611:F611"/>
    <mergeCell ref="G611:H611"/>
    <mergeCell ref="B615:D615"/>
    <mergeCell ref="E615:F615"/>
    <mergeCell ref="G615:H615"/>
    <mergeCell ref="B616:D616"/>
    <mergeCell ref="E616:F616"/>
    <mergeCell ref="G616:H616"/>
    <mergeCell ref="B617:D617"/>
    <mergeCell ref="E617:F617"/>
    <mergeCell ref="G617:H617"/>
    <mergeCell ref="B618:D618"/>
    <mergeCell ref="E618:F618"/>
    <mergeCell ref="G618:H618"/>
    <mergeCell ref="B626:D626"/>
    <mergeCell ref="E626:F626"/>
    <mergeCell ref="G626:H626"/>
    <mergeCell ref="B627:D627"/>
    <mergeCell ref="E627:F627"/>
    <mergeCell ref="G627:H627"/>
    <mergeCell ref="B628:D628"/>
    <mergeCell ref="E628:F628"/>
    <mergeCell ref="G628:H628"/>
    <mergeCell ref="B629:D629"/>
    <mergeCell ref="E629:F629"/>
    <mergeCell ref="G629:H629"/>
    <mergeCell ref="B630:D630"/>
    <mergeCell ref="E630:F630"/>
    <mergeCell ref="G630:H630"/>
    <mergeCell ref="B638:E638"/>
    <mergeCell ref="F638:G638"/>
    <mergeCell ref="J638:K638"/>
    <mergeCell ref="B639:E639"/>
    <mergeCell ref="F639:G639"/>
    <mergeCell ref="J639:K639"/>
    <mergeCell ref="B640:E640"/>
    <mergeCell ref="F640:G640"/>
    <mergeCell ref="J640:K640"/>
    <mergeCell ref="B641:E641"/>
    <mergeCell ref="F641:G641"/>
    <mergeCell ref="J641:K641"/>
    <mergeCell ref="B645:E645"/>
    <mergeCell ref="F645:G645"/>
    <mergeCell ref="I645:J645"/>
    <mergeCell ref="B646:E646"/>
    <mergeCell ref="F646:G646"/>
    <mergeCell ref="I646:J646"/>
    <mergeCell ref="B647:E647"/>
    <mergeCell ref="F647:G647"/>
    <mergeCell ref="I647:J647"/>
    <mergeCell ref="B648:E648"/>
    <mergeCell ref="F648:G648"/>
    <mergeCell ref="I648:J648"/>
    <mergeCell ref="B652:E652"/>
    <mergeCell ref="F652:G652"/>
    <mergeCell ref="J652:K652"/>
    <mergeCell ref="B653:E653"/>
    <mergeCell ref="F653:G653"/>
    <mergeCell ref="J653:K653"/>
    <mergeCell ref="B654:E654"/>
    <mergeCell ref="F654:G654"/>
    <mergeCell ref="J654:K654"/>
    <mergeCell ref="B655:E655"/>
    <mergeCell ref="F655:G655"/>
    <mergeCell ref="J655:K655"/>
    <mergeCell ref="B659:E659"/>
    <mergeCell ref="F659:G659"/>
    <mergeCell ref="I659:J659"/>
    <mergeCell ref="B660:E660"/>
    <mergeCell ref="F660:G660"/>
    <mergeCell ref="I660:J660"/>
    <mergeCell ref="B661:E661"/>
    <mergeCell ref="F661:G661"/>
    <mergeCell ref="I661:J661"/>
    <mergeCell ref="B662:E662"/>
    <mergeCell ref="F662:G662"/>
    <mergeCell ref="I662:J662"/>
    <mergeCell ref="B666:E666"/>
    <mergeCell ref="F666:G666"/>
    <mergeCell ref="J666:K666"/>
    <mergeCell ref="B667:E667"/>
    <mergeCell ref="F667:G667"/>
    <mergeCell ref="J667:K667"/>
    <mergeCell ref="B668:E668"/>
    <mergeCell ref="F668:G668"/>
    <mergeCell ref="J668:K668"/>
    <mergeCell ref="B669:E669"/>
    <mergeCell ref="F669:G669"/>
    <mergeCell ref="J669:K669"/>
    <mergeCell ref="B673:E673"/>
    <mergeCell ref="F673:G673"/>
    <mergeCell ref="J673:K673"/>
    <mergeCell ref="B674:E674"/>
    <mergeCell ref="F674:G674"/>
    <mergeCell ref="J674:K674"/>
    <mergeCell ref="B675:E675"/>
    <mergeCell ref="F675:G675"/>
    <mergeCell ref="J675:K675"/>
    <mergeCell ref="B676:E676"/>
    <mergeCell ref="F676:G676"/>
    <mergeCell ref="J676:K676"/>
    <mergeCell ref="B684:F684"/>
    <mergeCell ref="G684:H684"/>
    <mergeCell ref="K684:L684"/>
    <mergeCell ref="B685:F685"/>
    <mergeCell ref="G685:H685"/>
    <mergeCell ref="K685:L685"/>
    <mergeCell ref="B686:F686"/>
    <mergeCell ref="G686:H686"/>
    <mergeCell ref="K686:L686"/>
    <mergeCell ref="B687:F687"/>
    <mergeCell ref="G687:H687"/>
    <mergeCell ref="K687:L687"/>
    <mergeCell ref="B695:D695"/>
    <mergeCell ref="F695:G695"/>
    <mergeCell ref="H695:I695"/>
    <mergeCell ref="B696:D696"/>
    <mergeCell ref="F696:G696"/>
    <mergeCell ref="H696:I696"/>
    <mergeCell ref="B697:D697"/>
    <mergeCell ref="F697:G697"/>
    <mergeCell ref="H697:I697"/>
    <mergeCell ref="B698:D698"/>
    <mergeCell ref="F698:G698"/>
    <mergeCell ref="H698:I698"/>
    <mergeCell ref="B702:D702"/>
    <mergeCell ref="F702:G702"/>
    <mergeCell ref="B703:D703"/>
    <mergeCell ref="F703:G703"/>
    <mergeCell ref="B704:D704"/>
    <mergeCell ref="F704:G704"/>
    <mergeCell ref="B705:D705"/>
    <mergeCell ref="F705:G705"/>
    <mergeCell ref="B709:D709"/>
    <mergeCell ref="F709:G709"/>
    <mergeCell ref="B710:D710"/>
    <mergeCell ref="F710:G710"/>
    <mergeCell ref="B711:D711"/>
    <mergeCell ref="F711:G711"/>
    <mergeCell ref="B712:D712"/>
    <mergeCell ref="F712:G712"/>
    <mergeCell ref="B716:D716"/>
    <mergeCell ref="F716:G716"/>
    <mergeCell ref="B717:D717"/>
    <mergeCell ref="F717:G717"/>
    <mergeCell ref="B718:D718"/>
    <mergeCell ref="F718:G718"/>
    <mergeCell ref="B719:D719"/>
    <mergeCell ref="F719:G719"/>
    <mergeCell ref="B723:D723"/>
    <mergeCell ref="F723:G723"/>
    <mergeCell ref="B724:D724"/>
    <mergeCell ref="F724:G724"/>
    <mergeCell ref="B725:D725"/>
    <mergeCell ref="F725:G725"/>
    <mergeCell ref="B726:D726"/>
    <mergeCell ref="F726:G726"/>
    <mergeCell ref="B730:F730"/>
    <mergeCell ref="G730:H730"/>
    <mergeCell ref="I730:J730"/>
    <mergeCell ref="B731:F731"/>
    <mergeCell ref="G731:H731"/>
    <mergeCell ref="I731:J731"/>
    <mergeCell ref="B732:F732"/>
    <mergeCell ref="G732:H732"/>
    <mergeCell ref="I732:J732"/>
    <mergeCell ref="B733:F733"/>
    <mergeCell ref="G733:H733"/>
    <mergeCell ref="I733:J733"/>
    <mergeCell ref="B734:F734"/>
    <mergeCell ref="G734:H734"/>
    <mergeCell ref="I734:J734"/>
    <mergeCell ref="B738:D738"/>
    <mergeCell ref="F738:G738"/>
    <mergeCell ref="H738:I738"/>
    <mergeCell ref="B739:D739"/>
    <mergeCell ref="F739:G739"/>
    <mergeCell ref="H739:I739"/>
    <mergeCell ref="B740:D740"/>
    <mergeCell ref="F740:G740"/>
    <mergeCell ref="H740:I740"/>
    <mergeCell ref="B741:D741"/>
    <mergeCell ref="F741:G741"/>
    <mergeCell ref="H741:I741"/>
    <mergeCell ref="B742:D742"/>
    <mergeCell ref="F742:G742"/>
    <mergeCell ref="H742:I742"/>
    <mergeCell ref="B743:D743"/>
    <mergeCell ref="F743:G743"/>
    <mergeCell ref="H743:I743"/>
    <mergeCell ref="B744:D744"/>
    <mergeCell ref="F744:G744"/>
    <mergeCell ref="H744:I744"/>
    <mergeCell ref="B745:D745"/>
    <mergeCell ref="F745:G745"/>
    <mergeCell ref="H745:I745"/>
    <mergeCell ref="B746:D746"/>
    <mergeCell ref="F746:G746"/>
    <mergeCell ref="H746:I746"/>
    <mergeCell ref="B747:D747"/>
    <mergeCell ref="F747:G747"/>
    <mergeCell ref="H747:I747"/>
    <mergeCell ref="B755:D755"/>
    <mergeCell ref="F755:G755"/>
    <mergeCell ref="B756:D756"/>
    <mergeCell ref="F756:G756"/>
    <mergeCell ref="B757:D757"/>
    <mergeCell ref="F757:G757"/>
    <mergeCell ref="B758:D758"/>
    <mergeCell ref="F758:G758"/>
    <mergeCell ref="B766:F766"/>
    <mergeCell ref="G766:H766"/>
    <mergeCell ref="K766:L766"/>
    <mergeCell ref="B767:F767"/>
    <mergeCell ref="G767:H767"/>
    <mergeCell ref="K767:L767"/>
    <mergeCell ref="B768:F768"/>
    <mergeCell ref="G768:H768"/>
    <mergeCell ref="K768:L768"/>
    <mergeCell ref="B769:F769"/>
    <mergeCell ref="G769:H769"/>
    <mergeCell ref="K769:L769"/>
    <mergeCell ref="B773:D773"/>
    <mergeCell ref="E773:F773"/>
    <mergeCell ref="G773:H773"/>
    <mergeCell ref="B774:D774"/>
    <mergeCell ref="E774:F774"/>
    <mergeCell ref="G774:H774"/>
    <mergeCell ref="B775:D775"/>
    <mergeCell ref="E775:F775"/>
    <mergeCell ref="G775:H775"/>
    <mergeCell ref="B776:D776"/>
    <mergeCell ref="E776:F776"/>
    <mergeCell ref="G776:H776"/>
    <mergeCell ref="B784:D784"/>
    <mergeCell ref="F784:G784"/>
    <mergeCell ref="H784:I784"/>
    <mergeCell ref="B785:D785"/>
    <mergeCell ref="F785:G785"/>
    <mergeCell ref="H785:I785"/>
    <mergeCell ref="B786:D786"/>
    <mergeCell ref="F786:G786"/>
    <mergeCell ref="H786:I786"/>
    <mergeCell ref="B787:D787"/>
    <mergeCell ref="F787:G787"/>
    <mergeCell ref="H787:I787"/>
    <mergeCell ref="B791:D791"/>
    <mergeCell ref="F791:G791"/>
    <mergeCell ref="B792:D792"/>
    <mergeCell ref="F792:G792"/>
    <mergeCell ref="B793:D793"/>
    <mergeCell ref="F793:G793"/>
    <mergeCell ref="B794:D794"/>
    <mergeCell ref="F794:G794"/>
    <mergeCell ref="B798:D798"/>
    <mergeCell ref="F798:G798"/>
    <mergeCell ref="B799:D799"/>
    <mergeCell ref="F799:G799"/>
    <mergeCell ref="B800:D800"/>
    <mergeCell ref="F800:G800"/>
    <mergeCell ref="B801:D801"/>
    <mergeCell ref="F801:G801"/>
    <mergeCell ref="B805:D805"/>
    <mergeCell ref="F805:G805"/>
    <mergeCell ref="B806:D806"/>
    <mergeCell ref="F806:G806"/>
    <mergeCell ref="B807:D807"/>
    <mergeCell ref="F807:G807"/>
    <mergeCell ref="B808:D808"/>
    <mergeCell ref="F808:G808"/>
    <mergeCell ref="B809:D809"/>
    <mergeCell ref="F809:G809"/>
    <mergeCell ref="B813:D813"/>
    <mergeCell ref="F813:G813"/>
    <mergeCell ref="B814:D814"/>
    <mergeCell ref="F814:G814"/>
    <mergeCell ref="B815:D815"/>
    <mergeCell ref="F815:G815"/>
    <mergeCell ref="B816:D816"/>
    <mergeCell ref="F816:G816"/>
    <mergeCell ref="B820:D820"/>
    <mergeCell ref="F820:G820"/>
    <mergeCell ref="B821:D821"/>
    <mergeCell ref="F821:G821"/>
    <mergeCell ref="B822:D822"/>
    <mergeCell ref="F822:G822"/>
    <mergeCell ref="B823:D823"/>
    <mergeCell ref="F823:G823"/>
    <mergeCell ref="B827:D827"/>
    <mergeCell ref="F827:G827"/>
    <mergeCell ref="B828:D828"/>
    <mergeCell ref="F828:G828"/>
    <mergeCell ref="B829:D829"/>
    <mergeCell ref="F829:G829"/>
    <mergeCell ref="B830:D830"/>
    <mergeCell ref="F830:G830"/>
    <mergeCell ref="B834:D834"/>
    <mergeCell ref="F834:G834"/>
    <mergeCell ref="B835:D835"/>
    <mergeCell ref="F835:G835"/>
    <mergeCell ref="B836:D836"/>
    <mergeCell ref="F836:G836"/>
    <mergeCell ref="B837:D837"/>
    <mergeCell ref="F837:G837"/>
    <mergeCell ref="B841:D841"/>
    <mergeCell ref="F841:G841"/>
    <mergeCell ref="B842:D842"/>
    <mergeCell ref="F842:G842"/>
    <mergeCell ref="B843:D843"/>
    <mergeCell ref="F843:G843"/>
    <mergeCell ref="B844:D844"/>
    <mergeCell ref="F844:G844"/>
    <mergeCell ref="B848:D848"/>
    <mergeCell ref="E848:F848"/>
    <mergeCell ref="G848:H848"/>
    <mergeCell ref="B849:D849"/>
    <mergeCell ref="E849:F849"/>
    <mergeCell ref="G849:H849"/>
    <mergeCell ref="B850:D850"/>
    <mergeCell ref="E850:F850"/>
    <mergeCell ref="G850:H850"/>
    <mergeCell ref="B851:D851"/>
    <mergeCell ref="E851:F851"/>
    <mergeCell ref="G851:H851"/>
    <mergeCell ref="B852:D852"/>
    <mergeCell ref="E852:F852"/>
    <mergeCell ref="G852:H852"/>
    <mergeCell ref="B860:D860"/>
    <mergeCell ref="F860:G860"/>
    <mergeCell ref="B861:D861"/>
    <mergeCell ref="F861:G861"/>
    <mergeCell ref="H868:J868"/>
    <mergeCell ref="E870:G870"/>
    <mergeCell ref="B862:D862"/>
    <mergeCell ref="F862:G862"/>
    <mergeCell ref="B863:D863"/>
    <mergeCell ref="F863:G863"/>
    <mergeCell ref="B864:D864"/>
    <mergeCell ref="F864:G864"/>
  </mergeCells>
  <conditionalFormatting sqref="J246">
    <cfRule type="cellIs" priority="44" dxfId="22" operator="notEqual">
      <formula>новый!#REF!+новый!#REF!</formula>
    </cfRule>
  </conditionalFormatting>
  <conditionalFormatting sqref="J322">
    <cfRule type="cellIs" priority="43" dxfId="22" operator="notEqual">
      <formula>новый!#REF!+новый!#REF!+новый!#REF!</formula>
    </cfRule>
  </conditionalFormatting>
  <conditionalFormatting sqref="L214">
    <cfRule type="cellIs" priority="42" dxfId="22" operator="notEqual">
      <formula>новый!#REF!</formula>
    </cfRule>
  </conditionalFormatting>
  <conditionalFormatting sqref="F573 J572">
    <cfRule type="cellIs" priority="41" dxfId="22" operator="notEqual">
      <formula>новый!#REF!+новый!#REF!+новый!#REF!</formula>
    </cfRule>
  </conditionalFormatting>
  <conditionalFormatting sqref="F293">
    <cfRule type="cellIs" priority="45" dxfId="22" operator="notEqual">
      <formula>новый!#REF!+новый!#REF!+новый!#REF!+новый!#REF!+новый!#REF!+новый!#REF!+новый!#REF!+новый!#REF!+новый!#REF!+новый!#REF!</formula>
    </cfRule>
    <cfRule type="cellIs" priority="46" dxfId="0" operator="notEqual">
      <formula>новый!#REF!+новый!#REF!+новый!#REF!+новый!#REF!+новый!#REF!+новый!#REF!+новый!#REF!+новый!#REF!+новый!#REF!+новый!#REF!</formula>
    </cfRule>
  </conditionalFormatting>
  <conditionalFormatting sqref="J316">
    <cfRule type="cellIs" priority="40" dxfId="22" operator="notEqual">
      <formula>новый!#REF!+новый!#REF!+новый!#REF!</formula>
    </cfRule>
  </conditionalFormatting>
  <conditionalFormatting sqref="J355:J356 J369 J376 J383">
    <cfRule type="cellIs" priority="47" dxfId="22" operator="notEqual">
      <formula>новый!#REF!+новый!#REF!+новый!#REF!+новый!#REF!+новый!#REF!</formula>
    </cfRule>
  </conditionalFormatting>
  <conditionalFormatting sqref="J344">
    <cfRule type="cellIs" priority="30" dxfId="22" operator="notEqual">
      <formula>новый!#REF!+новый!#REF!+новый!#REF!+новый!#REF!+новый!#REF!</formula>
    </cfRule>
  </conditionalFormatting>
  <conditionalFormatting sqref="J349">
    <cfRule type="cellIs" priority="29" dxfId="22" operator="notEqual">
      <formula>новый!#REF!+новый!#REF!+новый!#REF!+новый!#REF!+новый!#REF!</formula>
    </cfRule>
  </conditionalFormatting>
  <conditionalFormatting sqref="J140">
    <cfRule type="cellIs" priority="28" dxfId="22" operator="notEqual">
      <formula>новый!#REF!+новый!#REF!</formula>
    </cfRule>
  </conditionalFormatting>
  <conditionalFormatting sqref="J157">
    <cfRule type="cellIs" priority="27" dxfId="22" operator="notEqual">
      <formula>новый!#REF!+новый!#REF!+новый!#REF!</formula>
    </cfRule>
  </conditionalFormatting>
  <conditionalFormatting sqref="J192">
    <cfRule type="cellIs" priority="22" dxfId="22" operator="notEqual">
      <formula>новый!#REF!</formula>
    </cfRule>
  </conditionalFormatting>
  <conditionalFormatting sqref="K257">
    <cfRule type="cellIs" priority="19" dxfId="22" operator="notEqual">
      <formula>новый!#REF!+новый!#REF!+новый!#REF!+новый!#REF!</formula>
    </cfRule>
  </conditionalFormatting>
  <conditionalFormatting sqref="J440">
    <cfRule type="cellIs" priority="18" dxfId="22" operator="notEqual">
      <formula>новый!#REF!+новый!#REF!+новый!#REF!</formula>
    </cfRule>
  </conditionalFormatting>
  <conditionalFormatting sqref="J553">
    <cfRule type="cellIs" priority="17" dxfId="22" operator="notEqual">
      <formula>новый!#REF!</formula>
    </cfRule>
  </conditionalFormatting>
  <conditionalFormatting sqref="J393">
    <cfRule type="cellIs" priority="14" dxfId="22" operator="notEqual">
      <formula>новый!#REF!+новый!#REF!</formula>
    </cfRule>
  </conditionalFormatting>
  <conditionalFormatting sqref="K279">
    <cfRule type="cellIs" priority="11" dxfId="22" operator="notEqual">
      <formula>новый!#REF!+новый!#REF!+новый!#REF!+новый!#REF!</formula>
    </cfRule>
  </conditionalFormatting>
  <conditionalFormatting sqref="J447">
    <cfRule type="cellIs" priority="8" dxfId="22" operator="notEqual">
      <formula>новый!#REF!+новый!#REF!+новый!#REF!</formula>
    </cfRule>
  </conditionalFormatting>
  <conditionalFormatting sqref="J852">
    <cfRule type="cellIs" priority="7" dxfId="22" operator="notEqual">
      <formula>новый!#REF!+новый!#REF!+новый!#REF!</formula>
    </cfRule>
  </conditionalFormatting>
  <conditionalFormatting sqref="J362">
    <cfRule type="cellIs" priority="6" dxfId="22" operator="notEqual">
      <formula>новый!#REF!+новый!#REF!+новый!#REF!+новый!#REF!+новый!#REF!</formula>
    </cfRule>
  </conditionalFormatting>
  <conditionalFormatting sqref="J593">
    <cfRule type="cellIs" priority="1" dxfId="22" operator="notEqual">
      <formula>новый!#REF!</formula>
    </cfRule>
  </conditionalFormatting>
  <printOptions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portrait" paperSize="9" scale="38" r:id="rId1"/>
  <headerFooter differentFirst="1" alignWithMargins="0">
    <oddHeader>&amp;C&amp;P</oddHeader>
  </headerFooter>
  <rowBreaks count="12" manualBreakCount="12">
    <brk id="19" max="14" man="1"/>
    <brk id="93" max="14" man="1"/>
    <brk id="157" max="14" man="1"/>
    <brk id="292" max="14" man="1"/>
    <brk id="383" max="14" man="1"/>
    <brk id="448" max="14" man="1"/>
    <brk id="517" max="14" man="1"/>
    <brk id="612" max="14" man="1"/>
    <brk id="670" max="14" man="1"/>
    <brk id="720" max="14" man="1"/>
    <brk id="770" max="14" man="1"/>
    <brk id="8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2023-11-16T12:59:53Z</cp:lastPrinted>
  <dcterms:created xsi:type="dcterms:W3CDTF">2011-01-11T10:25:48Z</dcterms:created>
  <dcterms:modified xsi:type="dcterms:W3CDTF">2023-12-10T16:19:53Z</dcterms:modified>
  <cp:category/>
  <cp:version/>
  <cp:contentType/>
  <cp:contentStatus/>
</cp:coreProperties>
</file>