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п" sheetId="1" r:id="rId1"/>
    <sheet name="5п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5" i="2" l="1"/>
  <c r="I214" i="2"/>
  <c r="I213" i="2"/>
  <c r="I212" i="2"/>
  <c r="I211" i="2"/>
  <c r="I210" i="2"/>
  <c r="I209" i="2"/>
  <c r="I208" i="2"/>
  <c r="I207" i="2"/>
  <c r="I206" i="2"/>
  <c r="J200" i="2"/>
  <c r="I200" i="2"/>
  <c r="I199" i="2"/>
  <c r="I198" i="2"/>
  <c r="I197" i="2"/>
  <c r="I196" i="2"/>
  <c r="I195" i="2"/>
  <c r="I194" i="2"/>
  <c r="I190" i="2"/>
  <c r="I186" i="2"/>
  <c r="I172" i="2"/>
  <c r="I171" i="2"/>
  <c r="I170" i="2"/>
  <c r="I169" i="2"/>
  <c r="I168" i="2"/>
  <c r="I161" i="2"/>
  <c r="I159" i="2"/>
  <c r="I157" i="2"/>
  <c r="I155" i="2"/>
  <c r="P153" i="2"/>
  <c r="P2" i="2" s="1"/>
  <c r="I153" i="2"/>
  <c r="P148" i="2"/>
  <c r="I148" i="2"/>
  <c r="I147" i="2"/>
  <c r="I146" i="2"/>
  <c r="I145" i="2"/>
  <c r="I142" i="2"/>
  <c r="I141" i="2"/>
  <c r="I139" i="2"/>
  <c r="I138" i="2"/>
  <c r="I130" i="2"/>
  <c r="I129" i="2"/>
  <c r="I128" i="2"/>
  <c r="I122" i="2"/>
  <c r="I119" i="2"/>
  <c r="I113" i="2"/>
  <c r="I109" i="2"/>
  <c r="I103" i="2"/>
  <c r="I97" i="2"/>
  <c r="I80" i="2"/>
  <c r="I68" i="2"/>
  <c r="I62" i="2"/>
  <c r="I48" i="2"/>
  <c r="H45" i="2"/>
  <c r="H2" i="2" s="1"/>
  <c r="I33" i="2"/>
  <c r="I21" i="2"/>
  <c r="I9" i="2"/>
  <c r="V2" i="2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6" i="1"/>
  <c r="I100" i="1"/>
  <c r="I94" i="1"/>
  <c r="I93" i="1"/>
  <c r="I92" i="1"/>
  <c r="I90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7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39" i="1"/>
  <c r="I34" i="1"/>
  <c r="I21" i="1"/>
  <c r="I9" i="1"/>
  <c r="I8" i="1"/>
  <c r="V2" i="1"/>
  <c r="P2" i="1"/>
  <c r="H2" i="1"/>
  <c r="I45" i="2" l="1"/>
</calcChain>
</file>

<file path=xl/sharedStrings.xml><?xml version="1.0" encoding="utf-8"?>
<sst xmlns="http://schemas.openxmlformats.org/spreadsheetml/2006/main" count="634" uniqueCount="312">
  <si>
    <t>Сумма заключенных контрактов</t>
  </si>
  <si>
    <t>Сумма средств выплаченных по контрактам</t>
  </si>
  <si>
    <t>Общая сумма расторжений по контрактам/договорам</t>
  </si>
  <si>
    <t>№ п/п</t>
  </si>
  <si>
    <t>Наименование муниципальной программы, национального или регионального проекта</t>
  </si>
  <si>
    <t>Контракт заключен в электронном виде посредством                             АИС "Портал поставщиков"   (Да/Нет)</t>
  </si>
  <si>
    <t>Код бюджетной классификации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</si>
  <si>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</si>
  <si>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</si>
  <si>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</si>
  <si>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</si>
  <si>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Остаток по контракту</t>
  </si>
  <si>
    <t xml:space="preserve">ИНН поставщика (подрядчика, исполнителя) </t>
  </si>
  <si>
    <t>Поставщик (подрядчик, исполнитель)</t>
  </si>
  <si>
    <t>СМП и СОНО                       (да/нет)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</si>
  <si>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</si>
  <si>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Фактическая дата поставки товара (оказания услуги, выполнения работы)</t>
  </si>
  <si>
    <t>Сроки оплаты согласно договора/контракта</t>
  </si>
  <si>
    <t>Сумма согласно документа об исполнении контракта заказчиком</t>
  </si>
  <si>
    <t>Фактическая дата оплаты</t>
  </si>
  <si>
    <t>Изменение контракта (№, дата)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</si>
  <si>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</si>
  <si>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</si>
  <si>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Расторжение контракта (№, дата)</t>
  </si>
  <si>
    <t>Сумма расторжения в рублях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</si>
  <si>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</si>
  <si>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</si>
  <si>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</si>
  <si>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</si>
  <si>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</si>
  <si>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</si>
  <si>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</si>
  <si>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</si>
  <si>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</si>
  <si>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</si>
  <si>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</si>
  <si>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</si>
  <si>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</si>
  <si>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</si>
  <si>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</si>
  <si>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</si>
  <si>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</si>
  <si>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</si>
  <si>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</si>
  <si>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</si>
  <si>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</si>
  <si>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</si>
  <si>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</si>
  <si>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</si>
  <si>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Муниципальная программа "Развитие образования"</t>
  </si>
  <si>
    <t>902 0113 1310110490 244</t>
  </si>
  <si>
    <t>№ 1</t>
  </si>
  <si>
    <t>09.01.2020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</si>
  <si>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</si>
  <si>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</si>
  <si>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</si>
  <si>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</si>
  <si>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акта приема-сдачи и документа на оплату</t>
  </si>
  <si>
    <t>Пример</t>
  </si>
  <si>
    <t>92500000000000000244</t>
  </si>
  <si>
    <t>тенич.обслуж.автоматически установок пожарной сигнализации</t>
  </si>
  <si>
    <t>ООО СИГНАЛ</t>
  </si>
  <si>
    <t>В течение 30  дней, со дня подписания сторонами контракта</t>
  </si>
  <si>
    <t>34-С</t>
  </si>
  <si>
    <t>Техническое обслуживание объектов систе  пожарного мониторинга ПАК Стрелец-мониторинг</t>
  </si>
  <si>
    <t>ООО Сигнал</t>
  </si>
  <si>
    <t>1/20</t>
  </si>
  <si>
    <t>дератизация</t>
  </si>
  <si>
    <t>ООО Дезинфекция</t>
  </si>
  <si>
    <t>34000654</t>
  </si>
  <si>
    <t>охрана объекта с использованием КТС</t>
  </si>
  <si>
    <t>Федеральное госуд.казеное учреждение "Управление вневед.охраны войск нац.гвардии РФ по Краснодарскому краю (ФГКУ "УВО ВНГ России по Краснодарскому раю"</t>
  </si>
  <si>
    <t>хох нужды</t>
  </si>
  <si>
    <t>ИП Латышева</t>
  </si>
  <si>
    <t>3-50-21-0393</t>
  </si>
  <si>
    <t>Увеличение мощности</t>
  </si>
  <si>
    <t>АО "НЭСК-элекросети"</t>
  </si>
  <si>
    <t>23050354/21</t>
  </si>
  <si>
    <t>Право использование программы ЭВМ "Контур экстерн"</t>
  </si>
  <si>
    <t>АО "Производственная фирма "СКБ Контур"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</si>
  <si>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</si>
  <si>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23-7341</t>
  </si>
  <si>
    <t>аттестаты</t>
  </si>
  <si>
    <t>ООО "Спецбланк-Москва"</t>
  </si>
  <si>
    <t>лампы</t>
  </si>
  <si>
    <t>ИП Сакс</t>
  </si>
  <si>
    <t>582</t>
  </si>
  <si>
    <t>доводчик дверной,обналичка</t>
  </si>
  <si>
    <t>ИП Бака</t>
  </si>
  <si>
    <t>244</t>
  </si>
  <si>
    <t>двез.средствари,де</t>
  </si>
  <si>
    <t>журналы,личные карты</t>
  </si>
  <si>
    <t>ООО "Краснодарский учколлектор"</t>
  </si>
  <si>
    <t>конституция</t>
  </si>
  <si>
    <t>ООО "Кубанский библиотечный сервис"</t>
  </si>
  <si>
    <t>222</t>
  </si>
  <si>
    <t>извещатель пожарный</t>
  </si>
  <si>
    <t>ООО "Сигнал"</t>
  </si>
  <si>
    <t>АТ00-03987</t>
  </si>
  <si>
    <t>аттестаты программа</t>
  </si>
  <si>
    <t>ООО "АйТи Мониторинг"</t>
  </si>
  <si>
    <t>3406/207</t>
  </si>
  <si>
    <t>переодическая печать</t>
  </si>
  <si>
    <t>АО Почта России</t>
  </si>
  <si>
    <t>предоплата</t>
  </si>
  <si>
    <t>детская формаАвтогородок</t>
  </si>
  <si>
    <t>ИП Музуров А.А.</t>
  </si>
  <si>
    <t>не позднее 30 календарных дней</t>
  </si>
  <si>
    <t>2021.136866</t>
  </si>
  <si>
    <t>Автогородок</t>
  </si>
  <si>
    <t>принтер 2шт ЕГЭ</t>
  </si>
  <si>
    <t>ИП Титаренко И.М</t>
  </si>
  <si>
    <t>107</t>
  </si>
  <si>
    <t>хознужды</t>
  </si>
  <si>
    <t>ИП Латышева Н.П</t>
  </si>
  <si>
    <t>экскурсионные услуги</t>
  </si>
  <si>
    <t>МРО провославный приход храма Вознесения Господня</t>
  </si>
  <si>
    <t>лабораторные исследования воды</t>
  </si>
  <si>
    <t>ФБУЗ "Цнтр гигиены и эпидимиологии в Краснодарском крае"</t>
  </si>
  <si>
    <t>321-21/24</t>
  </si>
  <si>
    <t>Оценка аренды Райпо</t>
  </si>
  <si>
    <t>Союз "Тимашевская Торгово-промышленная палата"</t>
  </si>
  <si>
    <t>Оценка аренды Техникум</t>
  </si>
  <si>
    <t xml:space="preserve">таблички </t>
  </si>
  <si>
    <t>ИП Барам В.Н.</t>
  </si>
  <si>
    <t>SYUT-18459</t>
  </si>
  <si>
    <t>Ларь морозильный</t>
  </si>
  <si>
    <t>ООО"Сервис-ЮГ-ККМ"</t>
  </si>
  <si>
    <t>канцтовары</t>
  </si>
  <si>
    <t>ИПИ Кислинская Ю.Н</t>
  </si>
  <si>
    <t>экскурсионные услуги Новороссийск</t>
  </si>
  <si>
    <t>МРО Провославныйприход храма Вознесения Господне.КК Ейской епархии .</t>
  </si>
  <si>
    <t>Экскурсионное обслуж.музей</t>
  </si>
  <si>
    <t>МинфинКК( ГБУК КК "НИМЗ"</t>
  </si>
  <si>
    <t>ремонт кровли</t>
  </si>
  <si>
    <t>лабораторные электрические испытания</t>
  </si>
  <si>
    <t>Изделия их ПВХ,дверь шпонированная</t>
  </si>
  <si>
    <t>ИП Бака И.Н</t>
  </si>
  <si>
    <t>накопитель</t>
  </si>
  <si>
    <t>ИП Даценко</t>
  </si>
  <si>
    <t>СП-Т-13/21</t>
  </si>
  <si>
    <t>учеба ФЗ44</t>
  </si>
  <si>
    <t>ООО"АСМ-Партнер"</t>
  </si>
  <si>
    <t>опрессовка</t>
  </si>
  <si>
    <t>АО "АТЭК"</t>
  </si>
  <si>
    <t>за тех.обслуживание узла учета</t>
  </si>
  <si>
    <t>235301271520</t>
  </si>
  <si>
    <t>не позднее 30 кален.дн</t>
  </si>
  <si>
    <t>07/14/52-п/4</t>
  </si>
  <si>
    <t>ФФГУП "Охрана"</t>
  </si>
  <si>
    <t>не прзднее 30 кален жн</t>
  </si>
  <si>
    <t>за ремонт автоматической пожарной сигнализации</t>
  </si>
  <si>
    <t>2353002302</t>
  </si>
  <si>
    <t>10-2021</t>
  </si>
  <si>
    <t>Автомат макет</t>
  </si>
  <si>
    <t>ИП Данилкин С.Ю.</t>
  </si>
  <si>
    <t>ООО "Тимашевское ПРТ райпо"</t>
  </si>
  <si>
    <t>Услуга питания 19 руб ноябрь-декабрь</t>
  </si>
  <si>
    <t>Питание 1-4 класс ноябрь</t>
  </si>
  <si>
    <t>09.12.2021</t>
  </si>
  <si>
    <t>питание ОВЗ</t>
  </si>
  <si>
    <t>29.12.2021</t>
  </si>
  <si>
    <t>АО"Почта России"</t>
  </si>
  <si>
    <t>подписка</t>
  </si>
  <si>
    <t>А-114877</t>
  </si>
  <si>
    <t>ООО "Айдеко"</t>
  </si>
  <si>
    <t>шлюз безопасности программа</t>
  </si>
  <si>
    <t>2021.288560</t>
  </si>
  <si>
    <t>ООО "ТД -Логистика"</t>
  </si>
  <si>
    <t>плита электрическая</t>
  </si>
  <si>
    <t>ООО "Тит-мебель"</t>
  </si>
  <si>
    <t>стулья</t>
  </si>
  <si>
    <t>СД диск</t>
  </si>
  <si>
    <t>31Ю/21-61/1</t>
  </si>
  <si>
    <t>ГБУ Краснодарского края "Краевая техничсикая инвентаризация -Краевое БТИ"</t>
  </si>
  <si>
    <t>тех заключение на здание</t>
  </si>
  <si>
    <t>М7</t>
  </si>
  <si>
    <t>07.12.201</t>
  </si>
  <si>
    <t>ИП Тюменцева Т.А</t>
  </si>
  <si>
    <t>мячи ПВХ</t>
  </si>
  <si>
    <t>СОУТ 278/6Е-21</t>
  </si>
  <si>
    <t>ГК."АТОН"</t>
  </si>
  <si>
    <t>спецоценка условий труда</t>
  </si>
  <si>
    <t>ресепшн</t>
  </si>
  <si>
    <t>ИП Латышев Е.А</t>
  </si>
  <si>
    <t>хознуды</t>
  </si>
  <si>
    <t>51</t>
  </si>
  <si>
    <t>ИПБурцев А.В (Дети Юга)</t>
  </si>
  <si>
    <t>стенка швецкая, тренажер</t>
  </si>
  <si>
    <t>52</t>
  </si>
  <si>
    <t>333-ПУ</t>
  </si>
  <si>
    <t>ИП Казерова</t>
  </si>
  <si>
    <t>Оказание информационно-консультационных услуг по заполнению и подаче заявки о постановке объекта, оказывающего негативное воздействие на окружающую среду</t>
  </si>
  <si>
    <t>Союз торгово промышленная палата</t>
  </si>
  <si>
    <t>экспертиза</t>
  </si>
  <si>
    <t>24.12.201</t>
  </si>
  <si>
    <t>СМП и СОНО                       (Да/Нет)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</si>
  <si>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</si>
  <si>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</si>
  <si>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Сумма расторжения</t>
  </si>
  <si>
    <t>техическое обслуживания технических средств охраны объекта(тревожная кнопка)</t>
  </si>
  <si>
    <t>ФГУП "Охрана"Федеральной службы войск национальной гвардии Российской Федерации</t>
  </si>
  <si>
    <t>ежедневно</t>
  </si>
  <si>
    <t>сервисное тех.обслуживание теплосчетчиков</t>
  </si>
  <si>
    <t>ИП Дудкин</t>
  </si>
  <si>
    <t>ежемесячно</t>
  </si>
  <si>
    <t>услуги по обращенияс ТКО</t>
  </si>
  <si>
    <t>ОО Чистый город</t>
  </si>
  <si>
    <t>ежежневно</t>
  </si>
  <si>
    <t>Интернет КУБАННЕТ</t>
  </si>
  <si>
    <t>ПАО "Ростелеком"</t>
  </si>
  <si>
    <t>№1 от  28.02.2021</t>
  </si>
  <si>
    <t>230</t>
  </si>
  <si>
    <t>телефон (основной)</t>
  </si>
  <si>
    <t>20.08.20211</t>
  </si>
  <si>
    <t>230-Б2</t>
  </si>
  <si>
    <t>межугородн.переговоры.</t>
  </si>
  <si>
    <t>ежндневно</t>
  </si>
  <si>
    <t>105.15</t>
  </si>
  <si>
    <t xml:space="preserve">интернет 16000 </t>
  </si>
  <si>
    <t>31.06.2021</t>
  </si>
  <si>
    <t>31.09.2021</t>
  </si>
  <si>
    <t>поставка молока январь-май</t>
  </si>
  <si>
    <t>ООО Калория</t>
  </si>
  <si>
    <t>18.03.201</t>
  </si>
  <si>
    <t>питание 6 руб</t>
  </si>
  <si>
    <t>РАЙПО</t>
  </si>
  <si>
    <t>07.06.2021</t>
  </si>
  <si>
    <t>питание 10 руб многодетные</t>
  </si>
  <si>
    <t xml:space="preserve">РаЙПО </t>
  </si>
  <si>
    <t>питание 62,60(1-4 классы) январь</t>
  </si>
  <si>
    <t>ООО ПРТ Райпо</t>
  </si>
  <si>
    <t>24.02.2021</t>
  </si>
  <si>
    <r>
      <t>Питание ОВЗ за декабрь20/20/</t>
    </r>
    <r>
      <rPr>
        <sz val="14"/>
        <color rgb="FFFF0000"/>
        <rFont val="Times New Roman"/>
        <family val="1"/>
        <charset val="204"/>
      </rPr>
      <t>62,60</t>
    </r>
  </si>
  <si>
    <t>Услуги питания 16,5 декабрь 2020</t>
  </si>
  <si>
    <t>питание 1-4 кл февраль 2021</t>
  </si>
  <si>
    <t>32-1/21</t>
  </si>
  <si>
    <t>мед.осмотры (край)</t>
  </si>
  <si>
    <t>ГБУЗ "Тимашевская ЦРБ"</t>
  </si>
  <si>
    <t>32/21</t>
  </si>
  <si>
    <t>питание 1-4 кл март 2021</t>
  </si>
  <si>
    <t>ПРТ Райпо</t>
  </si>
  <si>
    <t>услуга питания 19 руб</t>
  </si>
  <si>
    <t>201</t>
  </si>
  <si>
    <t>Вывоз ТКО Крупногабаритный .Лодочка</t>
  </si>
  <si>
    <t>ООО "Чистый город"</t>
  </si>
  <si>
    <t>30.07.201</t>
  </si>
  <si>
    <t>питание 1-4 кл апрель</t>
  </si>
  <si>
    <t>Услуга питания 19ру.апрель</t>
  </si>
  <si>
    <t>3679607</t>
  </si>
  <si>
    <t>Бумага А4 (ЕГЭ)</t>
  </si>
  <si>
    <t>ИП Гришаев С.С</t>
  </si>
  <si>
    <t>в точени 2 дней</t>
  </si>
  <si>
    <t>питание 1-4 кл май</t>
  </si>
  <si>
    <t xml:space="preserve">услуга 19 руб май </t>
  </si>
  <si>
    <t>1194</t>
  </si>
  <si>
    <t>Видеотрансляция ЕГЭ</t>
  </si>
  <si>
    <t>23.11.201</t>
  </si>
  <si>
    <t>ремонт библиотеки</t>
  </si>
  <si>
    <t>ИП Рогочих</t>
  </si>
  <si>
    <t>ремонт музея</t>
  </si>
  <si>
    <t>20.09.2021</t>
  </si>
  <si>
    <t>24</t>
  </si>
  <si>
    <t>ремонт лестницы</t>
  </si>
  <si>
    <t>25</t>
  </si>
  <si>
    <t>услуги по организации питания</t>
  </si>
  <si>
    <t>ООО Тимашевское ПРТ Райпо</t>
  </si>
  <si>
    <t>22.07.2021</t>
  </si>
  <si>
    <t>50</t>
  </si>
  <si>
    <t>охрана</t>
  </si>
  <si>
    <t>ООО ЧОО"Легион"</t>
  </si>
  <si>
    <t>01.12.20211</t>
  </si>
  <si>
    <t>348</t>
  </si>
  <si>
    <t>мебель для музея</t>
  </si>
  <si>
    <t>ООО ТитМебель</t>
  </si>
  <si>
    <t>1 раз в месяц</t>
  </si>
  <si>
    <t>19/1</t>
  </si>
  <si>
    <t>ремонт пола  библиотеке</t>
  </si>
  <si>
    <t>2 раз в месяц</t>
  </si>
  <si>
    <t>28</t>
  </si>
  <si>
    <t>ремонт музея/доп работы</t>
  </si>
  <si>
    <t>ИП рогочих</t>
  </si>
  <si>
    <t>б/н</t>
  </si>
  <si>
    <t>проверка приборов теплосчетчики</t>
  </si>
  <si>
    <t>31</t>
  </si>
  <si>
    <t>молоко</t>
  </si>
  <si>
    <t>1-24.12.2021</t>
  </si>
  <si>
    <t>32</t>
  </si>
  <si>
    <t xml:space="preserve">ПРТ Райпо </t>
  </si>
  <si>
    <t>33</t>
  </si>
  <si>
    <t>58</t>
  </si>
  <si>
    <t>пропитка чердачн.перекрытий</t>
  </si>
  <si>
    <t>ООО ГлавПожСнаб"</t>
  </si>
  <si>
    <t>мебель для музея аренда</t>
  </si>
  <si>
    <t>тит мебель</t>
  </si>
  <si>
    <t>35</t>
  </si>
  <si>
    <t>сканер</t>
  </si>
  <si>
    <t>ООО ""Компьютерный бизнес сервис СиБиЭс"</t>
  </si>
  <si>
    <t>113</t>
  </si>
  <si>
    <t>стенды</t>
  </si>
  <si>
    <t xml:space="preserve">ИП Костерев </t>
  </si>
  <si>
    <t>40</t>
  </si>
  <si>
    <t>Краска</t>
  </si>
  <si>
    <t>ИП Быстров</t>
  </si>
  <si>
    <t>46</t>
  </si>
  <si>
    <t xml:space="preserve">установка систем экстренного оповещения </t>
  </si>
  <si>
    <t>ИП Войтенко</t>
  </si>
  <si>
    <t>ПИтание 1-4 класс декабрь</t>
  </si>
  <si>
    <t>53</t>
  </si>
  <si>
    <t>сплитсисема с установкой</t>
  </si>
  <si>
    <t>611</t>
  </si>
  <si>
    <t>дверной доводчик и тл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</si>
</sst>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F800]dddd\,\ mmmm\ dd\,\ yyyy"/>
    <numFmt numFmtId="165" formatCode="#,##0.00\ &quot;₽&quot;"/>
    <numFmt numFmtId="166" formatCode="#,##0.00\ &quot;₽&quot;;\-#,##0.00\ &quot;₽&quot;"/>
    <numFmt numFmtId="167" formatCode="#,##0.00_ ;\-#,##0.00\ "/>
    <numFmt numFmtId="169" formatCode="dd/mm/yy;@"/>
    <numFmt numFmtId="170" formatCode="0_ ;\-0\ "/>
    <numFmt numFmtId="171" formatCode="0.00_ ;\-0.00\ 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165" fontId="1" fillId="6" borderId="5" xfId="0" applyNumberFormat="1" applyFont="1" applyFill="1" applyBorder="1" applyAlignment="1">
      <alignment horizontal="center" vertical="center" wrapText="1"/>
    </xf>
    <xf numFmtId="166" fontId="1" fillId="6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164" fontId="1" fillId="7" borderId="6" xfId="0" applyNumberFormat="1" applyFont="1" applyFill="1" applyBorder="1" applyAlignment="1">
      <alignment horizontal="center" vertical="center" wrapText="1"/>
    </xf>
    <xf numFmtId="167" fontId="1" fillId="7" borderId="6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14" fontId="2" fillId="10" borderId="5" xfId="0" applyNumberFormat="1" applyFont="1" applyFill="1" applyBorder="1" applyAlignment="1" applyProtection="1">
      <alignment vertical="center" wrapText="1"/>
      <protection locked="0"/>
    </xf>
    <xf numFmtId="0" fontId="2" fillId="10" borderId="5" xfId="0" applyFont="1" applyFill="1" applyBorder="1" applyAlignment="1" applyProtection="1">
      <alignment vertical="center" wrapText="1"/>
      <protection locked="0"/>
    </xf>
    <xf numFmtId="4" fontId="2" fillId="10" borderId="5" xfId="0" applyNumberFormat="1" applyFont="1" applyFill="1" applyBorder="1" applyAlignment="1" applyProtection="1">
      <alignment vertical="center" wrapText="1"/>
      <protection locked="0"/>
    </xf>
    <xf numFmtId="4" fontId="1" fillId="9" borderId="5" xfId="0" applyNumberFormat="1" applyFont="1" applyFill="1" applyBorder="1" applyAlignment="1">
      <alignment horizontal="center" vertical="center" wrapText="1"/>
    </xf>
    <xf numFmtId="14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14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2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8" borderId="5" xfId="0" applyNumberFormat="1" applyFont="1" applyFill="1" applyBorder="1" applyAlignment="1" applyProtection="1">
      <alignment vertical="center" wrapText="1"/>
      <protection locked="0"/>
    </xf>
    <xf numFmtId="0" fontId="2" fillId="8" borderId="5" xfId="0" applyFont="1" applyFill="1" applyBorder="1" applyAlignment="1" applyProtection="1">
      <alignment vertical="center" wrapText="1"/>
      <protection locked="0"/>
    </xf>
    <xf numFmtId="4" fontId="2" fillId="8" borderId="5" xfId="0" applyNumberFormat="1" applyFont="1" applyFill="1" applyBorder="1" applyAlignment="1" applyProtection="1">
      <alignment vertical="center" wrapText="1"/>
      <protection locked="0"/>
    </xf>
    <xf numFmtId="4" fontId="1" fillId="8" borderId="5" xfId="0" applyNumberFormat="1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49" fontId="1" fillId="9" borderId="5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 applyProtection="1">
      <alignment horizontal="center" wrapText="1"/>
      <protection locked="0"/>
    </xf>
    <xf numFmtId="169" fontId="2" fillId="8" borderId="5" xfId="0" applyNumberFormat="1" applyFont="1" applyFill="1" applyBorder="1" applyAlignment="1" applyProtection="1">
      <alignment wrapText="1"/>
      <protection locked="0"/>
    </xf>
    <xf numFmtId="0" fontId="2" fillId="8" borderId="5" xfId="0" applyFont="1" applyFill="1" applyBorder="1" applyAlignment="1" applyProtection="1">
      <alignment wrapText="1"/>
      <protection locked="0"/>
    </xf>
    <xf numFmtId="2" fontId="2" fillId="8" borderId="5" xfId="0" applyNumberFormat="1" applyFont="1" applyFill="1" applyBorder="1" applyAlignment="1" applyProtection="1">
      <alignment wrapText="1"/>
      <protection locked="0"/>
    </xf>
    <xf numFmtId="4" fontId="1" fillId="9" borderId="5" xfId="0" applyNumberFormat="1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169" fontId="2" fillId="8" borderId="7" xfId="0" applyNumberFormat="1" applyFont="1" applyFill="1" applyBorder="1" applyAlignment="1" applyProtection="1">
      <alignment wrapText="1"/>
      <protection locked="0"/>
    </xf>
    <xf numFmtId="4" fontId="1" fillId="8" borderId="5" xfId="0" applyNumberFormat="1" applyFont="1" applyFill="1" applyBorder="1" applyAlignment="1">
      <alignment horizontal="center" vertical="center" wrapText="1"/>
    </xf>
    <xf numFmtId="2" fontId="2" fillId="8" borderId="6" xfId="0" applyNumberFormat="1" applyFont="1" applyFill="1" applyBorder="1" applyAlignment="1" applyProtection="1">
      <alignment wrapText="1"/>
      <protection locked="0"/>
    </xf>
    <xf numFmtId="0" fontId="2" fillId="11" borderId="5" xfId="0" applyFont="1" applyFill="1" applyBorder="1" applyAlignment="1" applyProtection="1">
      <alignment wrapText="1"/>
      <protection locked="0"/>
    </xf>
    <xf numFmtId="0" fontId="2" fillId="9" borderId="5" xfId="0" applyFont="1" applyFill="1" applyBorder="1" applyAlignment="1" applyProtection="1">
      <alignment vertical="center" wrapText="1"/>
      <protection locked="0"/>
    </xf>
    <xf numFmtId="4" fontId="1" fillId="9" borderId="5" xfId="0" applyNumberFormat="1" applyFont="1" applyFill="1" applyBorder="1" applyAlignment="1" applyProtection="1">
      <alignment vertical="center" wrapText="1"/>
      <protection locked="0"/>
    </xf>
    <xf numFmtId="49" fontId="1" fillId="8" borderId="5" xfId="0" applyNumberFormat="1" applyFont="1" applyFill="1" applyBorder="1" applyAlignment="1" applyProtection="1">
      <alignment horizontal="left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14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vertical="center" wrapText="1"/>
      <protection locked="0"/>
    </xf>
    <xf numFmtId="4" fontId="4" fillId="8" borderId="5" xfId="0" applyNumberFormat="1" applyFont="1" applyFill="1" applyBorder="1" applyAlignment="1" applyProtection="1">
      <alignment vertical="center" wrapText="1"/>
      <protection locked="0"/>
    </xf>
    <xf numFmtId="0" fontId="4" fillId="8" borderId="5" xfId="0" applyFont="1" applyFill="1" applyBorder="1" applyAlignment="1" applyProtection="1">
      <alignment vertical="center" wrapText="1"/>
      <protection locked="0"/>
    </xf>
    <xf numFmtId="14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vertical="center" wrapText="1"/>
      <protection locked="0"/>
    </xf>
    <xf numFmtId="0" fontId="4" fillId="8" borderId="5" xfId="0" applyFont="1" applyFill="1" applyBorder="1" applyAlignment="1" applyProtection="1">
      <alignment horizontal="center" wrapText="1"/>
      <protection locked="0"/>
    </xf>
    <xf numFmtId="169" fontId="4" fillId="8" borderId="5" xfId="0" applyNumberFormat="1" applyFont="1" applyFill="1" applyBorder="1" applyAlignment="1" applyProtection="1">
      <alignment wrapText="1"/>
      <protection locked="0"/>
    </xf>
    <xf numFmtId="0" fontId="4" fillId="8" borderId="5" xfId="0" applyFont="1" applyFill="1" applyBorder="1" applyAlignment="1" applyProtection="1">
      <alignment wrapText="1"/>
      <protection locked="0"/>
    </xf>
    <xf numFmtId="2" fontId="4" fillId="8" borderId="6" xfId="0" applyNumberFormat="1" applyFont="1" applyFill="1" applyBorder="1" applyAlignment="1" applyProtection="1">
      <alignment wrapText="1"/>
      <protection locked="0"/>
    </xf>
    <xf numFmtId="0" fontId="5" fillId="8" borderId="5" xfId="0" applyFont="1" applyFill="1" applyBorder="1" applyAlignment="1" applyProtection="1">
      <alignment horizontal="center" wrapText="1"/>
      <protection locked="0"/>
    </xf>
    <xf numFmtId="169" fontId="5" fillId="8" borderId="5" xfId="0" applyNumberFormat="1" applyFont="1" applyFill="1" applyBorder="1" applyAlignment="1" applyProtection="1">
      <alignment wrapText="1"/>
      <protection locked="0"/>
    </xf>
    <xf numFmtId="0" fontId="5" fillId="8" borderId="5" xfId="0" applyFont="1" applyFill="1" applyBorder="1" applyAlignment="1" applyProtection="1">
      <alignment wrapText="1"/>
      <protection locked="0"/>
    </xf>
    <xf numFmtId="2" fontId="6" fillId="8" borderId="6" xfId="0" applyNumberFormat="1" applyFont="1" applyFill="1" applyBorder="1" applyAlignment="1" applyProtection="1">
      <alignment wrapText="1"/>
      <protection locked="0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 applyProtection="1">
      <alignment vertical="center" wrapText="1"/>
      <protection locked="0"/>
    </xf>
    <xf numFmtId="169" fontId="7" fillId="8" borderId="5" xfId="0" applyNumberFormat="1" applyFont="1" applyFill="1" applyBorder="1" applyAlignment="1" applyProtection="1">
      <alignment wrapText="1"/>
      <protection locked="0"/>
    </xf>
    <xf numFmtId="0" fontId="7" fillId="8" borderId="5" xfId="0" applyFont="1" applyFill="1" applyBorder="1" applyAlignment="1" applyProtection="1">
      <alignment wrapText="1"/>
      <protection locked="0"/>
    </xf>
    <xf numFmtId="2" fontId="7" fillId="8" borderId="6" xfId="0" applyNumberFormat="1" applyFont="1" applyFill="1" applyBorder="1" applyAlignment="1" applyProtection="1">
      <alignment wrapText="1"/>
      <protection locked="0"/>
    </xf>
    <xf numFmtId="4" fontId="8" fillId="8" borderId="5" xfId="0" applyNumberFormat="1" applyFont="1" applyFill="1" applyBorder="1" applyAlignment="1">
      <alignment horizontal="center" vertical="center" wrapText="1"/>
    </xf>
    <xf numFmtId="49" fontId="8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8" fillId="8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5" xfId="0" applyNumberFormat="1" applyFont="1" applyFill="1" applyBorder="1" applyAlignment="1" applyProtection="1">
      <alignment horizontal="left" wrapText="1"/>
      <protection locked="0"/>
    </xf>
    <xf numFmtId="0" fontId="4" fillId="9" borderId="5" xfId="0" applyFont="1" applyFill="1" applyBorder="1" applyAlignment="1" applyProtection="1">
      <alignment vertical="center" wrapText="1"/>
      <protection locked="0"/>
    </xf>
    <xf numFmtId="4" fontId="1" fillId="9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4" fontId="1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8" borderId="5" xfId="0" applyNumberFormat="1" applyFont="1" applyFill="1" applyBorder="1" applyAlignment="1" applyProtection="1">
      <alignment horizontal="center" wrapText="1"/>
      <protection locked="0"/>
    </xf>
    <xf numFmtId="1" fontId="5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8" borderId="5" xfId="0" applyNumberFormat="1" applyFont="1" applyFill="1" applyBorder="1" applyAlignment="1" applyProtection="1">
      <alignment vertical="center" wrapText="1"/>
      <protection locked="0"/>
    </xf>
    <xf numFmtId="0" fontId="5" fillId="8" borderId="5" xfId="0" applyFont="1" applyFill="1" applyBorder="1" applyAlignment="1" applyProtection="1">
      <alignment vertical="center" wrapText="1"/>
      <protection locked="0"/>
    </xf>
    <xf numFmtId="4" fontId="5" fillId="8" borderId="5" xfId="0" applyNumberFormat="1" applyFont="1" applyFill="1" applyBorder="1" applyAlignment="1" applyProtection="1">
      <alignment vertical="center"/>
      <protection locked="0"/>
    </xf>
    <xf numFmtId="14" fontId="8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12" borderId="5" xfId="0" applyFont="1" applyFill="1" applyBorder="1" applyAlignment="1" applyProtection="1">
      <alignment horizontal="center" vertical="center" wrapText="1"/>
      <protection locked="0"/>
    </xf>
    <xf numFmtId="167" fontId="1" fillId="13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12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0" applyFont="1" applyFill="1" applyBorder="1" applyProtection="1">
      <protection locked="0"/>
    </xf>
    <xf numFmtId="0" fontId="5" fillId="8" borderId="5" xfId="0" applyFont="1" applyFill="1" applyBorder="1" applyAlignment="1" applyProtection="1">
      <alignment vertical="top" wrapText="1"/>
      <protection locked="0"/>
    </xf>
    <xf numFmtId="2" fontId="5" fillId="8" borderId="6" xfId="0" applyNumberFormat="1" applyFont="1" applyFill="1" applyBorder="1" applyAlignment="1" applyProtection="1">
      <alignment wrapText="1"/>
      <protection locked="0"/>
    </xf>
    <xf numFmtId="169" fontId="5" fillId="8" borderId="5" xfId="0" applyNumberFormat="1" applyFont="1" applyFill="1" applyBorder="1" applyAlignment="1" applyProtection="1">
      <alignment horizontal="right" wrapText="1"/>
      <protection locked="0"/>
    </xf>
    <xf numFmtId="169" fontId="5" fillId="8" borderId="7" xfId="0" applyNumberFormat="1" applyFont="1" applyFill="1" applyBorder="1" applyAlignment="1" applyProtection="1">
      <alignment wrapText="1"/>
      <protection locked="0"/>
    </xf>
    <xf numFmtId="49" fontId="5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8" borderId="5" xfId="0" applyNumberFormat="1" applyFont="1" applyFill="1" applyBorder="1" applyAlignment="1" applyProtection="1">
      <alignment vertical="center" wrapText="1"/>
      <protection locked="0"/>
    </xf>
    <xf numFmtId="0" fontId="5" fillId="8" borderId="5" xfId="0" applyFont="1" applyFill="1" applyBorder="1" applyAlignment="1" applyProtection="1">
      <alignment vertical="center" wrapText="1"/>
      <protection locked="0"/>
    </xf>
    <xf numFmtId="4" fontId="5" fillId="8" borderId="5" xfId="0" applyNumberFormat="1" applyFont="1" applyFill="1" applyBorder="1" applyAlignment="1" applyProtection="1">
      <alignment vertical="center" wrapText="1"/>
      <protection locked="0"/>
    </xf>
    <xf numFmtId="0" fontId="7" fillId="9" borderId="5" xfId="0" applyFont="1" applyFill="1" applyBorder="1" applyAlignment="1" applyProtection="1">
      <alignment horizontal="center" vertical="center" wrapText="1"/>
      <protection locked="0"/>
    </xf>
    <xf numFmtId="14" fontId="8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5" xfId="0" applyFont="1" applyFill="1" applyBorder="1" applyAlignment="1" applyProtection="1">
      <alignment vertical="center" wrapText="1"/>
      <protection locked="0"/>
    </xf>
    <xf numFmtId="4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" fontId="8" fillId="9" borderId="5" xfId="0" applyNumberFormat="1" applyFont="1" applyFill="1" applyBorder="1" applyAlignment="1">
      <alignment horizontal="center" vertical="center" wrapText="1"/>
    </xf>
    <xf numFmtId="49" fontId="8" fillId="9" borderId="5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14" fontId="1" fillId="7" borderId="5" xfId="0" applyNumberFormat="1" applyFont="1" applyFill="1" applyBorder="1" applyAlignment="1">
      <alignment horizontal="center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165" fontId="1" fillId="7" borderId="5" xfId="0" applyNumberFormat="1" applyFont="1" applyFill="1" applyBorder="1" applyAlignment="1">
      <alignment horizontal="center" vertical="center" wrapText="1"/>
    </xf>
    <xf numFmtId="170" fontId="1" fillId="7" borderId="5" xfId="0" applyNumberFormat="1" applyFont="1" applyFill="1" applyBorder="1" applyAlignment="1">
      <alignment horizontal="center" vertical="center" wrapText="1"/>
    </xf>
    <xf numFmtId="166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170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17" fontId="2" fillId="8" borderId="5" xfId="0" applyNumberFormat="1" applyFont="1" applyFill="1" applyBorder="1" applyAlignment="1" applyProtection="1">
      <alignment vertical="center" wrapText="1"/>
      <protection locked="0"/>
    </xf>
    <xf numFmtId="165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Alignment="1">
      <alignment horizontal="center" vertical="center" wrapText="1"/>
    </xf>
    <xf numFmtId="170" fontId="1" fillId="8" borderId="6" xfId="0" applyNumberFormat="1" applyFont="1" applyFill="1" applyBorder="1" applyAlignment="1" applyProtection="1">
      <alignment horizontal="center" vertical="center" wrapText="1"/>
      <protection locked="0"/>
    </xf>
    <xf numFmtId="170" fontId="1" fillId="8" borderId="8" xfId="0" applyNumberFormat="1" applyFont="1" applyFill="1" applyBorder="1" applyAlignment="1" applyProtection="1">
      <alignment horizontal="center" vertical="center" wrapText="1"/>
      <protection locked="0"/>
    </xf>
    <xf numFmtId="170" fontId="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4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170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5" xfId="0" applyNumberFormat="1" applyFont="1" applyFill="1" applyBorder="1" applyAlignment="1">
      <alignment horizontal="center" vertical="center" wrapText="1"/>
    </xf>
    <xf numFmtId="170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166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14" borderId="5" xfId="0" applyNumberFormat="1" applyFont="1" applyFill="1" applyBorder="1" applyAlignment="1">
      <alignment horizontal="center" vertical="center" wrapText="1"/>
    </xf>
    <xf numFmtId="49" fontId="2" fillId="9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9" borderId="5" xfId="0" applyNumberFormat="1" applyFont="1" applyFill="1" applyBorder="1" applyAlignment="1" applyProtection="1">
      <alignment vertical="center" wrapText="1"/>
      <protection locked="0"/>
    </xf>
    <xf numFmtId="4" fontId="2" fillId="9" borderId="5" xfId="0" applyNumberFormat="1" applyFont="1" applyFill="1" applyBorder="1" applyAlignment="1" applyProtection="1">
      <alignment vertical="center" wrapText="1"/>
      <protection locked="0"/>
    </xf>
    <xf numFmtId="49" fontId="2" fillId="15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vertical="center" wrapText="1"/>
      <protection locked="0"/>
    </xf>
    <xf numFmtId="4" fontId="1" fillId="16" borderId="5" xfId="0" applyNumberFormat="1" applyFont="1" applyFill="1" applyBorder="1" applyAlignment="1">
      <alignment horizontal="center"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9" borderId="5" xfId="0" applyNumberFormat="1" applyFont="1" applyFill="1" applyBorder="1" applyAlignment="1" applyProtection="1">
      <alignment vertical="center" wrapText="1"/>
      <protection locked="0"/>
    </xf>
    <xf numFmtId="4" fontId="2" fillId="9" borderId="5" xfId="0" applyNumberFormat="1" applyFont="1" applyFill="1" applyBorder="1" applyAlignment="1" applyProtection="1">
      <alignment vertical="center" wrapText="1"/>
      <protection locked="0"/>
    </xf>
    <xf numFmtId="0" fontId="2" fillId="7" borderId="5" xfId="0" applyFont="1" applyFill="1" applyBorder="1" applyAlignment="1" applyProtection="1">
      <alignment vertical="center" wrapText="1"/>
      <protection locked="0"/>
    </xf>
    <xf numFmtId="4" fontId="9" fillId="8" borderId="5" xfId="0" applyNumberFormat="1" applyFont="1" applyFill="1" applyBorder="1" applyAlignment="1">
      <alignment horizontal="center" vertical="center" wrapText="1"/>
    </xf>
    <xf numFmtId="170" fontId="9" fillId="8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5" xfId="0" applyNumberFormat="1" applyFont="1" applyFill="1" applyBorder="1" applyAlignment="1" applyProtection="1">
      <alignment vertical="center" wrapText="1"/>
      <protection locked="0"/>
    </xf>
    <xf numFmtId="4" fontId="9" fillId="8" borderId="5" xfId="0" applyNumberFormat="1" applyFont="1" applyFill="1" applyBorder="1" applyAlignment="1">
      <alignment horizontal="center" vertical="center" wrapText="1"/>
    </xf>
    <xf numFmtId="170" fontId="9" fillId="8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13" borderId="5" xfId="0" applyNumberFormat="1" applyFont="1" applyFill="1" applyBorder="1" applyAlignment="1" applyProtection="1">
      <alignment horizontal="center" vertical="center" wrapText="1"/>
      <protection locked="0"/>
    </xf>
    <xf numFmtId="2" fontId="5" fillId="8" borderId="5" xfId="0" applyNumberFormat="1" applyFont="1" applyFill="1" applyBorder="1" applyAlignment="1" applyProtection="1">
      <alignment wrapText="1"/>
      <protection locked="0"/>
    </xf>
    <xf numFmtId="49" fontId="6" fillId="8" borderId="7" xfId="0" applyNumberFormat="1" applyFont="1" applyFill="1" applyBorder="1" applyAlignment="1" applyProtection="1">
      <alignment horizontal="center" wrapText="1"/>
      <protection locked="0"/>
    </xf>
    <xf numFmtId="0" fontId="6" fillId="8" borderId="7" xfId="0" applyFont="1" applyFill="1" applyBorder="1" applyAlignment="1" applyProtection="1">
      <alignment wrapText="1"/>
      <protection locked="0"/>
    </xf>
    <xf numFmtId="2" fontId="6" fillId="8" borderId="5" xfId="0" applyNumberFormat="1" applyFont="1" applyFill="1" applyBorder="1" applyAlignment="1" applyProtection="1">
      <alignment wrapText="1"/>
      <protection locked="0"/>
    </xf>
    <xf numFmtId="170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0" fontId="5" fillId="8" borderId="5" xfId="0" applyFont="1" applyFill="1" applyBorder="1" applyAlignment="1" applyProtection="1">
      <alignment horizontal="center" vertical="center" wrapText="1"/>
      <protection locked="0"/>
    </xf>
    <xf numFmtId="171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6" xfId="0" applyNumberFormat="1" applyFont="1" applyFill="1" applyBorder="1" applyAlignment="1">
      <alignment horizontal="center" vertical="center" wrapText="1"/>
    </xf>
    <xf numFmtId="49" fontId="1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5" xfId="0" applyNumberFormat="1" applyFont="1" applyFill="1" applyBorder="1" applyAlignment="1" applyProtection="1">
      <alignment horizontal="center" wrapText="1"/>
      <protection locked="0"/>
    </xf>
    <xf numFmtId="4" fontId="1" fillId="9" borderId="6" xfId="0" applyNumberFormat="1" applyFont="1" applyFill="1" applyBorder="1" applyAlignment="1">
      <alignment horizontal="center" vertical="center" wrapText="1"/>
    </xf>
    <xf numFmtId="170" fontId="1" fillId="9" borderId="6" xfId="0" applyNumberFormat="1" applyFont="1" applyFill="1" applyBorder="1" applyAlignment="1" applyProtection="1">
      <alignment horizontal="center" vertical="center" wrapText="1"/>
      <protection locked="0"/>
    </xf>
    <xf numFmtId="14" fontId="1" fillId="9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9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9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6" xfId="0" applyFont="1" applyFill="1" applyBorder="1" applyAlignment="1" applyProtection="1">
      <alignment horizontal="center" vertical="center" wrapText="1"/>
      <protection locked="0"/>
    </xf>
    <xf numFmtId="49" fontId="4" fillId="9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9" borderId="5" xfId="0" applyNumberFormat="1" applyFont="1" applyFill="1" applyBorder="1" applyAlignment="1" applyProtection="1">
      <alignment vertical="center" wrapText="1"/>
      <protection locked="0"/>
    </xf>
    <xf numFmtId="0" fontId="6" fillId="9" borderId="5" xfId="0" applyFont="1" applyFill="1" applyBorder="1" applyAlignment="1" applyProtection="1">
      <alignment vertical="center" wrapText="1"/>
      <protection locked="0"/>
    </xf>
    <xf numFmtId="4" fontId="4" fillId="9" borderId="5" xfId="0" applyNumberFormat="1" applyFont="1" applyFill="1" applyBorder="1" applyAlignment="1" applyProtection="1">
      <alignment vertical="center" wrapText="1"/>
      <protection locked="0"/>
    </xf>
    <xf numFmtId="4" fontId="11" fillId="9" borderId="5" xfId="0" applyNumberFormat="1" applyFont="1" applyFill="1" applyBorder="1" applyAlignment="1">
      <alignment horizontal="center" vertical="center" wrapText="1"/>
    </xf>
    <xf numFmtId="170" fontId="1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vertical="center" wrapText="1"/>
      <protection locked="0"/>
    </xf>
    <xf numFmtId="49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9" borderId="6" xfId="0" applyNumberFormat="1" applyFont="1" applyFill="1" applyBorder="1" applyAlignment="1" applyProtection="1">
      <alignment vertical="center" wrapText="1"/>
      <protection locked="0"/>
    </xf>
    <xf numFmtId="0" fontId="2" fillId="9" borderId="6" xfId="0" applyFont="1" applyFill="1" applyBorder="1" applyAlignment="1" applyProtection="1">
      <alignment vertical="center" wrapText="1"/>
      <protection locked="0"/>
    </xf>
    <xf numFmtId="4" fontId="2" fillId="9" borderId="6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5</xdr:col>
      <xdr:colOff>1828800</xdr:colOff>
      <xdr:row>3</xdr:row>
      <xdr:rowOff>495300</xdr:rowOff>
    </xdr:to>
    <xdr:sp macro="[1]!ДобавитьКонтрактП4" textlink="">
      <xdr:nvSpPr>
        <xdr:cNvPr id="2" name="Скругленный прямоугольник 1"/>
        <xdr:cNvSpPr>
          <a:spLocks/>
        </xdr:cNvSpPr>
      </xdr:nvSpPr>
      <xdr:spPr>
        <a:xfrm>
          <a:off x="10944225" y="991425"/>
          <a:ext cx="5750475" cy="494475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/>
        <xdr:cNvSpPr txBox="1"/>
      </xdr:nvSpPr>
      <xdr:spPr>
        <a:xfrm>
          <a:off x="11421341" y="15646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16</xdr:col>
      <xdr:colOff>742950</xdr:colOff>
      <xdr:row>3</xdr:row>
      <xdr:rowOff>495300</xdr:rowOff>
    </xdr:to>
    <xdr:sp macro="[1]!ДобавитьППАктП4" textlink="">
      <xdr:nvSpPr>
        <xdr:cNvPr id="4" name="Скругленный прямоугольник 3"/>
        <xdr:cNvSpPr/>
      </xdr:nvSpPr>
      <xdr:spPr>
        <a:xfrm>
          <a:off x="32004000" y="991425"/>
          <a:ext cx="5760000" cy="494475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10</xdr:col>
      <xdr:colOff>877800</xdr:colOff>
      <xdr:row>3</xdr:row>
      <xdr:rowOff>504000</xdr:rowOff>
    </xdr:to>
    <xdr:sp macro="[1]!УдалитьСтрокуП4" textlink="">
      <xdr:nvSpPr>
        <xdr:cNvPr id="5" name="Скругленный прямоугольник 4"/>
        <xdr:cNvSpPr/>
      </xdr:nvSpPr>
      <xdr:spPr>
        <a:xfrm>
          <a:off x="20594550" y="99060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5;&#1083;&#1077;&#1085;&#1072;%20&#1052;\&#1045;&#1051;&#1045;&#1053;&#1040;\&#1045;&#1051;&#1045;&#1053;&#1040;\&#1056;&#1072;&#1079;&#1085;&#1072;&#1103;%20&#1080;&#1085;&#1092;&#1086;&#1088;&#1084;&#1072;&#1094;&#1080;&#1103;%20&#1064;&#1050;&#1054;&#1051;&#1040;\&#1056;&#1072;&#1079;&#1085;&#1086;&#1077;%202021\&#1047;&#1040;&#1050;&#1059;&#1055;&#1050;&#1048;%202021%20&#1060;&#1047;-44\&#1054;&#1058;&#1063;&#1045;&#1058;&#1067;\&#1056;&#1045;&#1045;&#1057;&#1058;&#1056;%20&#1050;&#1054;&#1053;&#1058;&#1056;&#1040;&#1050;&#1058;&#1054;&#1042;%202021\&#1056;&#1045;&#1045;&#1057;&#1058;&#1056;%20&#1050;&#1054;&#1053;&#1058;&#1056;&#1040;&#1050;&#1058;&#1054;&#1042;%202021\&#1056;&#1077;&#1077;&#1089;&#1090;&#1088;%20&#1075;&#1086;&#1076;%20%20&#1076;&#1077;&#1082;&#1072;&#1073;&#1088;&#1100;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ормация"/>
      <sheetName val="Ед. поставщик п.4 ч.1"/>
      <sheetName val="Ед. поставщик п.5 ч.1"/>
      <sheetName val="Ед.поставщик за искл. п.4,5 ч.1"/>
      <sheetName val="Состоявшиеся аукционы"/>
      <sheetName val="Несостоявшиеся аукционы"/>
      <sheetName val="Иные конкурентные закупки"/>
      <sheetName val="Настройки"/>
    </sheetNames>
    <definedNames>
      <definedName name="ДобавитьКонтрактП4"/>
      <definedName name="ДобавитьППАктП4"/>
      <definedName name="УдалитьСтрокуП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"/>
  <sheetViews>
    <sheetView tabSelected="1" zoomScale="50" zoomScaleNormal="50" workbookViewId="0">
      <selection activeCell="G9" sqref="G9:G20"/>
    </sheetView>
  </sheetViews>
  <sheetFormatPr defaultColWidth="0" defaultRowHeight="18.75" x14ac:dyDescent="0.25"/>
  <cols>
    <col min="1" max="1" width="9.140625" style="1" customWidth="1"/>
    <col min="2" max="3" width="35" style="1" customWidth="1"/>
    <col min="4" max="4" width="32.85546875" style="1" customWidth="1"/>
    <col min="5" max="5" width="24.7109375" style="2" customWidth="1"/>
    <col min="6" max="6" width="27.5703125" style="1" customWidth="1"/>
    <col min="7" max="7" width="49.140625" style="1" customWidth="1"/>
    <col min="8" max="8" width="26.85546875" style="3" customWidth="1"/>
    <col min="9" max="9" width="21.85546875" style="3" customWidth="1"/>
    <col min="10" max="10" width="33.5703125" style="1" customWidth="1"/>
    <col min="11" max="12" width="28.28515625" style="1" customWidth="1"/>
    <col min="13" max="13" width="34.85546875" style="1" customWidth="1"/>
    <col min="14" max="14" width="28.85546875" style="2" customWidth="1"/>
    <col min="15" max="15" width="28.85546875" style="1" customWidth="1"/>
    <col min="16" max="16" width="24" style="4" customWidth="1"/>
    <col min="17" max="17" width="24" style="2" bestFit="1" customWidth="1"/>
    <col min="18" max="18" width="23.42578125" style="5" customWidth="1"/>
    <col min="19" max="20" width="23.7109375" style="5" customWidth="1"/>
    <col min="21" max="21" width="24.5703125" style="2" customWidth="1"/>
    <col min="22" max="22" width="25.5703125" style="4" customWidth="1"/>
    <col min="23" max="23" width="17.7109375" style="5" customWidth="1"/>
    <col min="24" max="16384" width="9.140625" style="5" hidden="1"/>
  </cols>
  <sheetData>
    <row r="1" spans="1:24" ht="19.5" thickBot="1" x14ac:dyDescent="0.3"/>
    <row r="2" spans="1:24" ht="39.950000000000003" customHeight="1" thickBot="1" x14ac:dyDescent="0.3">
      <c r="A2" s="6"/>
      <c r="B2" s="6"/>
      <c r="C2" s="6"/>
      <c r="D2" s="6"/>
      <c r="E2" s="6"/>
      <c r="F2" s="7"/>
      <c r="G2" s="8" t="s">
        <v>0</v>
      </c>
      <c r="H2" s="9">
        <f>SUM(H9:H9999)</f>
        <v>2101486.8899999997</v>
      </c>
      <c r="K2" s="10"/>
      <c r="L2" s="10"/>
      <c r="M2" s="10"/>
      <c r="N2" s="11" t="s">
        <v>1</v>
      </c>
      <c r="O2" s="12"/>
      <c r="P2" s="13">
        <f>SUM(P9:P9999)</f>
        <v>2067233.37</v>
      </c>
      <c r="R2" s="6"/>
      <c r="S2" s="11" t="s">
        <v>2</v>
      </c>
      <c r="T2" s="14"/>
      <c r="U2" s="12"/>
      <c r="V2" s="15">
        <f>SUM(V9:V9999)</f>
        <v>32853.520000000004</v>
      </c>
    </row>
    <row r="3" spans="1:24" x14ac:dyDescent="0.25">
      <c r="A3" s="10"/>
      <c r="B3" s="10"/>
      <c r="C3" s="10"/>
      <c r="D3" s="10"/>
      <c r="E3" s="10"/>
      <c r="F3" s="16"/>
      <c r="N3" s="6"/>
    </row>
    <row r="4" spans="1:24" ht="39.950000000000003" customHeight="1" x14ac:dyDescent="0.25">
      <c r="A4" s="17"/>
      <c r="B4" s="17"/>
      <c r="C4" s="17"/>
      <c r="D4" s="17"/>
      <c r="E4" s="18"/>
      <c r="F4" s="17"/>
      <c r="J4" s="19"/>
      <c r="K4" s="19"/>
      <c r="M4" s="19"/>
      <c r="N4" s="19"/>
      <c r="O4" s="19"/>
      <c r="P4" s="19"/>
    </row>
    <row r="5" spans="1:24" x14ac:dyDescent="0.25">
      <c r="A5" s="17"/>
      <c r="B5" s="17"/>
      <c r="C5" s="17"/>
      <c r="D5" s="17"/>
      <c r="E5" s="18"/>
      <c r="F5" s="17"/>
      <c r="G5" s="17"/>
      <c r="H5" s="20"/>
    </row>
    <row r="6" spans="1:24" ht="36" customHeight="1" x14ac:dyDescent="0.25">
      <c r="A6" s="21" t="s">
        <v>3</v>
      </c>
      <c r="B6" s="21" t="s">
        <v>4</v>
      </c>
      <c r="C6" s="21" t="s">
        <v>5</v>
      </c>
      <c r="D6" s="21" t="s">
        <v>6</v>
      </c>
      <c r="E6" s="22" t="s">
        <v>7</v>
      </c>
      <c r="F6" s="21" t="s">
        <v>8</v>
      </c>
      <c r="G6" s="21" t="s">
        <v>9</v>
      </c>
      <c r="H6" s="23" t="s">
        <v>10</v>
      </c>
      <c r="I6" s="23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2" t="s">
        <v>16</v>
      </c>
      <c r="O6" s="21" t="s">
        <v>17</v>
      </c>
      <c r="P6" s="24" t="s">
        <v>18</v>
      </c>
      <c r="Q6" s="22" t="s">
        <v>19</v>
      </c>
      <c r="R6" s="25" t="s">
        <v>20</v>
      </c>
      <c r="S6" s="25" t="s">
        <v>21</v>
      </c>
      <c r="T6" s="25" t="s">
        <v>22</v>
      </c>
      <c r="U6" s="22" t="s">
        <v>23</v>
      </c>
      <c r="V6" s="24" t="s">
        <v>24</v>
      </c>
      <c r="W6" s="25" t="s">
        <v>25</v>
      </c>
    </row>
    <row r="7" spans="1:24" x14ac:dyDescent="0.25">
      <c r="A7" s="26" t="s">
        <v>26</v>
      </c>
      <c r="B7" s="26" t="s">
        <v>27</v>
      </c>
      <c r="C7" s="26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26" t="s">
        <v>33</v>
      </c>
      <c r="I7" s="26" t="s">
        <v>34</v>
      </c>
      <c r="J7" s="26" t="s">
        <v>35</v>
      </c>
      <c r="K7" s="26" t="s">
        <v>36</v>
      </c>
      <c r="L7" s="26" t="s">
        <v>37</v>
      </c>
      <c r="M7" s="26" t="s">
        <v>38</v>
      </c>
      <c r="N7" s="26" t="s">
        <v>39</v>
      </c>
      <c r="O7" s="26" t="s">
        <v>40</v>
      </c>
      <c r="P7" s="26" t="s">
        <v>41</v>
      </c>
      <c r="Q7" s="26" t="s">
        <v>42</v>
      </c>
      <c r="R7" s="26" t="s">
        <v>43</v>
      </c>
      <c r="S7" s="26" t="s">
        <v>44</v>
      </c>
      <c r="T7" s="26" t="s">
        <v>45</v>
      </c>
      <c r="U7" s="26" t="s">
        <v>46</v>
      </c>
      <c r="V7" s="26" t="s">
        <v>47</v>
      </c>
      <c r="W7" s="26" t="s">
        <v>48</v>
      </c>
    </row>
    <row r="8" spans="1:24" s="32" customFormat="1" ht="114.75" customHeight="1" x14ac:dyDescent="0.25">
      <c r="A8" s="27">
        <v>1</v>
      </c>
      <c r="B8" s="27" t="s">
        <v>49</v>
      </c>
      <c r="C8" s="27"/>
      <c r="D8" s="27" t="s">
        <v>50</v>
      </c>
      <c r="E8" s="28" t="s">
        <v>51</v>
      </c>
      <c r="F8" s="28" t="s">
        <v>52</v>
      </c>
      <c r="G8" s="27" t="s">
        <v>53</v>
      </c>
      <c r="H8" s="29">
        <v>20000</v>
      </c>
      <c r="I8" s="29">
        <f>H8-P8</f>
        <v>0</v>
      </c>
      <c r="J8" s="27" t="s">
        <v>54</v>
      </c>
      <c r="K8" s="27" t="s">
        <v>55</v>
      </c>
      <c r="L8" s="27"/>
      <c r="M8" s="27" t="s">
        <v>56</v>
      </c>
      <c r="N8" s="28">
        <v>43840</v>
      </c>
      <c r="O8" s="27" t="s">
        <v>57</v>
      </c>
      <c r="P8" s="30">
        <v>20000</v>
      </c>
      <c r="Q8" s="28">
        <v>43840</v>
      </c>
      <c r="R8" s="27"/>
      <c r="S8" s="29"/>
      <c r="T8" s="29"/>
      <c r="U8" s="28"/>
      <c r="V8" s="29"/>
      <c r="W8" s="31" t="s">
        <v>58</v>
      </c>
    </row>
    <row r="9" spans="1:24" s="48" customFormat="1" ht="175.5" customHeight="1" x14ac:dyDescent="0.25">
      <c r="A9" s="33">
        <v>1</v>
      </c>
      <c r="B9" s="34"/>
      <c r="C9" s="34"/>
      <c r="D9" s="34" t="s">
        <v>59</v>
      </c>
      <c r="E9" s="35">
        <v>29</v>
      </c>
      <c r="F9" s="36">
        <v>44190</v>
      </c>
      <c r="G9" s="37" t="s">
        <v>60</v>
      </c>
      <c r="H9" s="38">
        <v>24000</v>
      </c>
      <c r="I9" s="39">
        <f>IF(X9 = 1, H9 + SUM(S9:S20) - SUM(T9:T20) - SUM(P9:P20) - V9,0)</f>
        <v>0</v>
      </c>
      <c r="J9" s="34"/>
      <c r="K9" s="37" t="s">
        <v>61</v>
      </c>
      <c r="L9" s="34"/>
      <c r="M9" s="34" t="s">
        <v>62</v>
      </c>
      <c r="N9" s="40">
        <v>44217</v>
      </c>
      <c r="O9" s="41" t="s">
        <v>57</v>
      </c>
      <c r="P9" s="42">
        <v>2000</v>
      </c>
      <c r="Q9" s="43">
        <v>44232</v>
      </c>
      <c r="R9" s="44"/>
      <c r="S9" s="42"/>
      <c r="T9" s="42"/>
      <c r="U9" s="45"/>
      <c r="V9" s="46"/>
      <c r="W9" s="47"/>
      <c r="X9" s="48">
        <v>1</v>
      </c>
    </row>
    <row r="10" spans="1:24" s="53" customFormat="1" x14ac:dyDescent="0.25">
      <c r="A10" s="33"/>
      <c r="B10" s="34"/>
      <c r="C10" s="34"/>
      <c r="D10" s="34"/>
      <c r="E10" s="35"/>
      <c r="F10" s="36"/>
      <c r="G10" s="37"/>
      <c r="H10" s="38"/>
      <c r="I10" s="39"/>
      <c r="J10" s="34"/>
      <c r="K10" s="37"/>
      <c r="L10" s="34"/>
      <c r="M10" s="34"/>
      <c r="N10" s="49">
        <v>44251</v>
      </c>
      <c r="O10" s="41"/>
      <c r="P10" s="50">
        <v>2000</v>
      </c>
      <c r="Q10" s="51">
        <v>44251</v>
      </c>
      <c r="R10" s="52"/>
      <c r="S10" s="50"/>
      <c r="T10" s="50"/>
      <c r="U10" s="45"/>
      <c r="V10" s="46"/>
      <c r="W10" s="47"/>
      <c r="X10" s="53">
        <v>1</v>
      </c>
    </row>
    <row r="11" spans="1:24" s="53" customFormat="1" x14ac:dyDescent="0.25">
      <c r="A11" s="33"/>
      <c r="B11" s="34"/>
      <c r="C11" s="34"/>
      <c r="D11" s="34"/>
      <c r="E11" s="35"/>
      <c r="F11" s="36"/>
      <c r="G11" s="37"/>
      <c r="H11" s="38"/>
      <c r="I11" s="39"/>
      <c r="J11" s="34"/>
      <c r="K11" s="37"/>
      <c r="L11" s="34"/>
      <c r="M11" s="34"/>
      <c r="N11" s="49">
        <v>44307</v>
      </c>
      <c r="O11" s="41"/>
      <c r="P11" s="50">
        <v>2000</v>
      </c>
      <c r="Q11" s="51">
        <v>44365</v>
      </c>
      <c r="R11" s="52"/>
      <c r="S11" s="50"/>
      <c r="T11" s="50"/>
      <c r="U11" s="45"/>
      <c r="V11" s="46"/>
      <c r="W11" s="47"/>
      <c r="X11" s="53">
        <v>1</v>
      </c>
    </row>
    <row r="12" spans="1:24" s="53" customFormat="1" x14ac:dyDescent="0.25">
      <c r="A12" s="33"/>
      <c r="B12" s="34"/>
      <c r="C12" s="34"/>
      <c r="D12" s="34"/>
      <c r="E12" s="35"/>
      <c r="F12" s="36"/>
      <c r="G12" s="37"/>
      <c r="H12" s="38"/>
      <c r="I12" s="39"/>
      <c r="J12" s="34"/>
      <c r="K12" s="37"/>
      <c r="L12" s="34"/>
      <c r="M12" s="34"/>
      <c r="N12" s="49">
        <v>44277</v>
      </c>
      <c r="O12" s="41"/>
      <c r="P12" s="50">
        <v>2000</v>
      </c>
      <c r="Q12" s="51">
        <v>44365</v>
      </c>
      <c r="R12" s="52"/>
      <c r="S12" s="50"/>
      <c r="T12" s="50"/>
      <c r="U12" s="45"/>
      <c r="V12" s="46"/>
      <c r="W12" s="47"/>
      <c r="X12" s="53">
        <v>1</v>
      </c>
    </row>
    <row r="13" spans="1:24" s="53" customFormat="1" x14ac:dyDescent="0.25">
      <c r="A13" s="33"/>
      <c r="B13" s="34"/>
      <c r="C13" s="34"/>
      <c r="D13" s="34"/>
      <c r="E13" s="35"/>
      <c r="F13" s="36"/>
      <c r="G13" s="37"/>
      <c r="H13" s="38"/>
      <c r="I13" s="39"/>
      <c r="J13" s="34"/>
      <c r="K13" s="37"/>
      <c r="L13" s="34"/>
      <c r="M13" s="34"/>
      <c r="N13" s="49">
        <v>44337</v>
      </c>
      <c r="O13" s="41"/>
      <c r="P13" s="50">
        <v>2000</v>
      </c>
      <c r="Q13" s="51">
        <v>44365</v>
      </c>
      <c r="R13" s="52"/>
      <c r="S13" s="50"/>
      <c r="T13" s="50"/>
      <c r="U13" s="45"/>
      <c r="V13" s="46"/>
      <c r="W13" s="47"/>
      <c r="X13" s="53">
        <v>1</v>
      </c>
    </row>
    <row r="14" spans="1:24" s="53" customFormat="1" x14ac:dyDescent="0.25">
      <c r="A14" s="33"/>
      <c r="B14" s="34"/>
      <c r="C14" s="34"/>
      <c r="D14" s="34"/>
      <c r="E14" s="35"/>
      <c r="F14" s="36"/>
      <c r="G14" s="37"/>
      <c r="H14" s="38"/>
      <c r="I14" s="39"/>
      <c r="J14" s="34"/>
      <c r="K14" s="37"/>
      <c r="L14" s="34"/>
      <c r="M14" s="34"/>
      <c r="N14" s="49">
        <v>44368</v>
      </c>
      <c r="O14" s="41"/>
      <c r="P14" s="50">
        <v>2000</v>
      </c>
      <c r="Q14" s="51">
        <v>44385</v>
      </c>
      <c r="R14" s="52"/>
      <c r="S14" s="50"/>
      <c r="T14" s="50"/>
      <c r="U14" s="45"/>
      <c r="V14" s="46"/>
      <c r="W14" s="47"/>
      <c r="X14" s="53">
        <v>1</v>
      </c>
    </row>
    <row r="15" spans="1:24" s="53" customFormat="1" x14ac:dyDescent="0.25">
      <c r="A15" s="33"/>
      <c r="B15" s="34"/>
      <c r="C15" s="34"/>
      <c r="D15" s="34"/>
      <c r="E15" s="35"/>
      <c r="F15" s="36"/>
      <c r="G15" s="37"/>
      <c r="H15" s="38"/>
      <c r="I15" s="39"/>
      <c r="J15" s="34"/>
      <c r="K15" s="37"/>
      <c r="L15" s="34"/>
      <c r="M15" s="34"/>
      <c r="N15" s="49">
        <v>44408</v>
      </c>
      <c r="O15" s="41"/>
      <c r="P15" s="50">
        <v>2000</v>
      </c>
      <c r="Q15" s="51">
        <v>44412</v>
      </c>
      <c r="R15" s="52"/>
      <c r="S15" s="50"/>
      <c r="T15" s="50"/>
      <c r="U15" s="45"/>
      <c r="V15" s="46"/>
      <c r="W15" s="47"/>
      <c r="X15" s="53">
        <v>1</v>
      </c>
    </row>
    <row r="16" spans="1:24" s="53" customFormat="1" x14ac:dyDescent="0.25">
      <c r="A16" s="33"/>
      <c r="B16" s="34"/>
      <c r="C16" s="34"/>
      <c r="D16" s="34"/>
      <c r="E16" s="35"/>
      <c r="F16" s="36"/>
      <c r="G16" s="37"/>
      <c r="H16" s="38"/>
      <c r="I16" s="39"/>
      <c r="J16" s="34"/>
      <c r="K16" s="37"/>
      <c r="L16" s="34"/>
      <c r="M16" s="34"/>
      <c r="N16" s="49">
        <v>44439</v>
      </c>
      <c r="O16" s="41"/>
      <c r="P16" s="50">
        <v>2000</v>
      </c>
      <c r="Q16" s="51">
        <v>44440</v>
      </c>
      <c r="R16" s="52"/>
      <c r="S16" s="50"/>
      <c r="T16" s="50"/>
      <c r="U16" s="45"/>
      <c r="V16" s="46"/>
      <c r="W16" s="47"/>
      <c r="X16" s="53">
        <v>1</v>
      </c>
    </row>
    <row r="17" spans="1:24" s="53" customFormat="1" x14ac:dyDescent="0.25">
      <c r="A17" s="33"/>
      <c r="B17" s="34"/>
      <c r="C17" s="34"/>
      <c r="D17" s="34"/>
      <c r="E17" s="35"/>
      <c r="F17" s="36"/>
      <c r="G17" s="37"/>
      <c r="H17" s="38"/>
      <c r="I17" s="39"/>
      <c r="J17" s="34"/>
      <c r="K17" s="37"/>
      <c r="L17" s="34"/>
      <c r="M17" s="34"/>
      <c r="N17" s="49">
        <v>44469</v>
      </c>
      <c r="O17" s="41"/>
      <c r="P17" s="50">
        <v>2000</v>
      </c>
      <c r="Q17" s="51">
        <v>44491</v>
      </c>
      <c r="R17" s="52"/>
      <c r="S17" s="50"/>
      <c r="T17" s="50"/>
      <c r="U17" s="45"/>
      <c r="V17" s="46"/>
      <c r="W17" s="47"/>
      <c r="X17" s="53">
        <v>1</v>
      </c>
    </row>
    <row r="18" spans="1:24" s="53" customFormat="1" x14ac:dyDescent="0.25">
      <c r="A18" s="33"/>
      <c r="B18" s="34"/>
      <c r="C18" s="34"/>
      <c r="D18" s="34"/>
      <c r="E18" s="35"/>
      <c r="F18" s="36"/>
      <c r="G18" s="37"/>
      <c r="H18" s="38"/>
      <c r="I18" s="39"/>
      <c r="J18" s="34"/>
      <c r="K18" s="37"/>
      <c r="L18" s="34"/>
      <c r="M18" s="34"/>
      <c r="N18" s="49">
        <v>44500</v>
      </c>
      <c r="O18" s="41"/>
      <c r="P18" s="50">
        <v>2000</v>
      </c>
      <c r="Q18" s="51">
        <v>44509</v>
      </c>
      <c r="R18" s="52"/>
      <c r="S18" s="50"/>
      <c r="T18" s="50"/>
      <c r="U18" s="45"/>
      <c r="V18" s="46"/>
      <c r="W18" s="47"/>
      <c r="X18" s="53">
        <v>1</v>
      </c>
    </row>
    <row r="19" spans="1:24" s="53" customFormat="1" x14ac:dyDescent="0.25">
      <c r="A19" s="33"/>
      <c r="B19" s="34"/>
      <c r="C19" s="34"/>
      <c r="D19" s="34"/>
      <c r="E19" s="35"/>
      <c r="F19" s="36"/>
      <c r="G19" s="37"/>
      <c r="H19" s="38"/>
      <c r="I19" s="39"/>
      <c r="J19" s="34"/>
      <c r="K19" s="37"/>
      <c r="L19" s="34"/>
      <c r="M19" s="34"/>
      <c r="N19" s="49">
        <v>44530</v>
      </c>
      <c r="O19" s="41"/>
      <c r="P19" s="50">
        <v>2000</v>
      </c>
      <c r="Q19" s="51">
        <v>44531</v>
      </c>
      <c r="R19" s="52"/>
      <c r="S19" s="50"/>
      <c r="T19" s="50"/>
      <c r="U19" s="45"/>
      <c r="V19" s="46"/>
      <c r="W19" s="47"/>
      <c r="X19" s="53">
        <v>1</v>
      </c>
    </row>
    <row r="20" spans="1:24" s="53" customFormat="1" x14ac:dyDescent="0.25">
      <c r="A20" s="33"/>
      <c r="B20" s="34"/>
      <c r="C20" s="34"/>
      <c r="D20" s="34"/>
      <c r="E20" s="35"/>
      <c r="F20" s="36"/>
      <c r="G20" s="37"/>
      <c r="H20" s="38"/>
      <c r="I20" s="39"/>
      <c r="J20" s="34"/>
      <c r="K20" s="37"/>
      <c r="L20" s="34"/>
      <c r="M20" s="34"/>
      <c r="N20" s="49">
        <v>44550</v>
      </c>
      <c r="O20" s="41"/>
      <c r="P20" s="50">
        <v>2000</v>
      </c>
      <c r="Q20" s="51">
        <v>44550</v>
      </c>
      <c r="R20" s="52"/>
      <c r="S20" s="50"/>
      <c r="T20" s="50"/>
      <c r="U20" s="45"/>
      <c r="V20" s="46"/>
      <c r="W20" s="47"/>
      <c r="X20" s="53">
        <v>1</v>
      </c>
    </row>
    <row r="21" spans="1:24" s="48" customFormat="1" ht="93.75" customHeight="1" x14ac:dyDescent="0.25">
      <c r="A21" s="33">
        <v>2</v>
      </c>
      <c r="B21" s="34"/>
      <c r="C21" s="34"/>
      <c r="D21" s="34" t="s">
        <v>59</v>
      </c>
      <c r="E21" s="35" t="s">
        <v>63</v>
      </c>
      <c r="F21" s="36">
        <v>44190</v>
      </c>
      <c r="G21" s="37" t="s">
        <v>64</v>
      </c>
      <c r="H21" s="38">
        <v>36000</v>
      </c>
      <c r="I21" s="39">
        <f>IF(X21 = 2, H21 + SUM(S21:S33) - SUM(T21:T33) - SUM(P21:P33) - V21,0)</f>
        <v>0</v>
      </c>
      <c r="J21" s="34"/>
      <c r="K21" s="37" t="s">
        <v>65</v>
      </c>
      <c r="L21" s="34"/>
      <c r="M21" s="34" t="s">
        <v>62</v>
      </c>
      <c r="N21" s="40">
        <v>44217</v>
      </c>
      <c r="O21" s="41" t="s">
        <v>57</v>
      </c>
      <c r="P21" s="42">
        <v>3000</v>
      </c>
      <c r="Q21" s="43">
        <v>44232</v>
      </c>
      <c r="R21" s="44"/>
      <c r="S21" s="42"/>
      <c r="T21" s="42"/>
      <c r="U21" s="45"/>
      <c r="V21" s="46"/>
      <c r="W21" s="47"/>
      <c r="X21" s="48">
        <v>2</v>
      </c>
    </row>
    <row r="22" spans="1:24" s="53" customFormat="1" ht="53.25" customHeight="1" x14ac:dyDescent="0.25">
      <c r="A22" s="33"/>
      <c r="B22" s="34"/>
      <c r="C22" s="34"/>
      <c r="D22" s="34"/>
      <c r="E22" s="35"/>
      <c r="F22" s="36"/>
      <c r="G22" s="37"/>
      <c r="H22" s="38"/>
      <c r="I22" s="39"/>
      <c r="J22" s="34"/>
      <c r="K22" s="37"/>
      <c r="L22" s="34"/>
      <c r="M22" s="34"/>
      <c r="N22" s="49">
        <v>44251</v>
      </c>
      <c r="O22" s="41"/>
      <c r="P22" s="50">
        <v>3000</v>
      </c>
      <c r="Q22" s="51">
        <v>44251</v>
      </c>
      <c r="R22" s="52"/>
      <c r="S22" s="50"/>
      <c r="T22" s="50"/>
      <c r="U22" s="45"/>
      <c r="V22" s="46"/>
      <c r="W22" s="47"/>
      <c r="X22" s="53">
        <v>2</v>
      </c>
    </row>
    <row r="23" spans="1:24" s="53" customFormat="1" x14ac:dyDescent="0.25">
      <c r="A23" s="33"/>
      <c r="B23" s="34"/>
      <c r="C23" s="34"/>
      <c r="D23" s="34"/>
      <c r="E23" s="35"/>
      <c r="F23" s="36"/>
      <c r="G23" s="37"/>
      <c r="H23" s="38"/>
      <c r="I23" s="39"/>
      <c r="J23" s="34"/>
      <c r="K23" s="37"/>
      <c r="L23" s="34"/>
      <c r="M23" s="34"/>
      <c r="N23" s="49">
        <v>44277</v>
      </c>
      <c r="O23" s="41"/>
      <c r="P23" s="50">
        <v>3000</v>
      </c>
      <c r="Q23" s="51">
        <v>44365</v>
      </c>
      <c r="R23" s="52"/>
      <c r="S23" s="50"/>
      <c r="T23" s="50"/>
      <c r="U23" s="45"/>
      <c r="V23" s="46"/>
      <c r="W23" s="47"/>
      <c r="X23" s="53">
        <v>2</v>
      </c>
    </row>
    <row r="24" spans="1:24" s="53" customFormat="1" x14ac:dyDescent="0.25">
      <c r="A24" s="33"/>
      <c r="B24" s="34"/>
      <c r="C24" s="34"/>
      <c r="D24" s="34"/>
      <c r="E24" s="35"/>
      <c r="F24" s="36"/>
      <c r="G24" s="37"/>
      <c r="H24" s="38"/>
      <c r="I24" s="39"/>
      <c r="J24" s="34"/>
      <c r="K24" s="37"/>
      <c r="L24" s="34"/>
      <c r="M24" s="34"/>
      <c r="N24" s="49">
        <v>44307</v>
      </c>
      <c r="O24" s="41"/>
      <c r="P24" s="50">
        <v>3000</v>
      </c>
      <c r="Q24" s="51">
        <v>44365</v>
      </c>
      <c r="R24" s="52"/>
      <c r="S24" s="50"/>
      <c r="T24" s="50"/>
      <c r="U24" s="45"/>
      <c r="V24" s="46"/>
      <c r="W24" s="47"/>
      <c r="X24" s="53">
        <v>2</v>
      </c>
    </row>
    <row r="25" spans="1:24" s="53" customFormat="1" x14ac:dyDescent="0.25">
      <c r="A25" s="33"/>
      <c r="B25" s="34"/>
      <c r="C25" s="34"/>
      <c r="D25" s="34"/>
      <c r="E25" s="35"/>
      <c r="F25" s="36"/>
      <c r="G25" s="37"/>
      <c r="H25" s="38"/>
      <c r="I25" s="39"/>
      <c r="J25" s="34"/>
      <c r="K25" s="37"/>
      <c r="L25" s="34"/>
      <c r="M25" s="34"/>
      <c r="N25" s="49">
        <v>44337</v>
      </c>
      <c r="O25" s="41"/>
      <c r="P25" s="50">
        <v>3000</v>
      </c>
      <c r="Q25" s="51">
        <v>44365</v>
      </c>
      <c r="R25" s="52"/>
      <c r="S25" s="50"/>
      <c r="T25" s="50"/>
      <c r="U25" s="45"/>
      <c r="V25" s="46"/>
      <c r="W25" s="47"/>
      <c r="X25" s="53">
        <v>2</v>
      </c>
    </row>
    <row r="26" spans="1:24" s="53" customFormat="1" x14ac:dyDescent="0.25">
      <c r="A26" s="33"/>
      <c r="B26" s="34"/>
      <c r="C26" s="34"/>
      <c r="D26" s="34"/>
      <c r="E26" s="35"/>
      <c r="F26" s="36"/>
      <c r="G26" s="37"/>
      <c r="H26" s="38"/>
      <c r="I26" s="39"/>
      <c r="J26" s="34"/>
      <c r="K26" s="37"/>
      <c r="L26" s="34"/>
      <c r="M26" s="34"/>
      <c r="N26" s="49">
        <v>44368</v>
      </c>
      <c r="O26" s="41"/>
      <c r="P26" s="50">
        <v>3000</v>
      </c>
      <c r="Q26" s="51">
        <v>44385</v>
      </c>
      <c r="R26" s="52"/>
      <c r="S26" s="50"/>
      <c r="T26" s="50"/>
      <c r="U26" s="45"/>
      <c r="V26" s="46"/>
      <c r="W26" s="47"/>
      <c r="X26" s="53">
        <v>2</v>
      </c>
    </row>
    <row r="27" spans="1:24" s="53" customFormat="1" x14ac:dyDescent="0.25">
      <c r="A27" s="33"/>
      <c r="B27" s="34"/>
      <c r="C27" s="34"/>
      <c r="D27" s="34"/>
      <c r="E27" s="35"/>
      <c r="F27" s="36"/>
      <c r="G27" s="37"/>
      <c r="H27" s="38"/>
      <c r="I27" s="39"/>
      <c r="J27" s="34"/>
      <c r="K27" s="37"/>
      <c r="L27" s="34"/>
      <c r="M27" s="34"/>
      <c r="N27" s="49">
        <v>44408</v>
      </c>
      <c r="O27" s="41"/>
      <c r="P27" s="50">
        <v>3000</v>
      </c>
      <c r="Q27" s="51">
        <v>44412</v>
      </c>
      <c r="R27" s="52"/>
      <c r="S27" s="50"/>
      <c r="T27" s="50"/>
      <c r="U27" s="45"/>
      <c r="V27" s="46"/>
      <c r="W27" s="47"/>
      <c r="X27" s="53">
        <v>2</v>
      </c>
    </row>
    <row r="28" spans="1:24" s="53" customFormat="1" x14ac:dyDescent="0.25">
      <c r="A28" s="33"/>
      <c r="B28" s="34"/>
      <c r="C28" s="34"/>
      <c r="D28" s="34"/>
      <c r="E28" s="35"/>
      <c r="F28" s="36"/>
      <c r="G28" s="37"/>
      <c r="H28" s="38"/>
      <c r="I28" s="39"/>
      <c r="J28" s="34"/>
      <c r="K28" s="37"/>
      <c r="L28" s="34"/>
      <c r="M28" s="34"/>
      <c r="N28" s="49">
        <v>44439</v>
      </c>
      <c r="O28" s="41"/>
      <c r="P28" s="50">
        <v>3000</v>
      </c>
      <c r="Q28" s="51">
        <v>44440</v>
      </c>
      <c r="R28" s="52"/>
      <c r="S28" s="50"/>
      <c r="T28" s="50"/>
      <c r="U28" s="45"/>
      <c r="V28" s="46"/>
      <c r="W28" s="47"/>
      <c r="X28" s="53">
        <v>2</v>
      </c>
    </row>
    <row r="29" spans="1:24" s="53" customFormat="1" x14ac:dyDescent="0.25">
      <c r="A29" s="33"/>
      <c r="B29" s="34"/>
      <c r="C29" s="34"/>
      <c r="D29" s="34"/>
      <c r="E29" s="35"/>
      <c r="F29" s="36"/>
      <c r="G29" s="37"/>
      <c r="H29" s="38"/>
      <c r="I29" s="39"/>
      <c r="J29" s="34"/>
      <c r="K29" s="37"/>
      <c r="L29" s="34"/>
      <c r="M29" s="34"/>
      <c r="N29" s="49">
        <v>44469</v>
      </c>
      <c r="O29" s="41"/>
      <c r="P29" s="50">
        <v>3000</v>
      </c>
      <c r="Q29" s="51">
        <v>44478</v>
      </c>
      <c r="R29" s="52"/>
      <c r="S29" s="50"/>
      <c r="T29" s="50"/>
      <c r="U29" s="45"/>
      <c r="V29" s="46"/>
      <c r="W29" s="47"/>
      <c r="X29" s="53">
        <v>2</v>
      </c>
    </row>
    <row r="30" spans="1:24" s="53" customFormat="1" x14ac:dyDescent="0.25">
      <c r="A30" s="33"/>
      <c r="B30" s="34"/>
      <c r="C30" s="34"/>
      <c r="D30" s="34"/>
      <c r="E30" s="35"/>
      <c r="F30" s="36"/>
      <c r="G30" s="37"/>
      <c r="H30" s="38"/>
      <c r="I30" s="39"/>
      <c r="J30" s="34"/>
      <c r="K30" s="37"/>
      <c r="L30" s="34"/>
      <c r="M30" s="34"/>
      <c r="N30" s="49">
        <v>44500</v>
      </c>
      <c r="O30" s="41"/>
      <c r="P30" s="50">
        <v>3000</v>
      </c>
      <c r="Q30" s="51">
        <v>44509</v>
      </c>
      <c r="R30" s="52"/>
      <c r="S30" s="50"/>
      <c r="T30" s="50"/>
      <c r="U30" s="45"/>
      <c r="V30" s="46"/>
      <c r="W30" s="47"/>
      <c r="X30" s="53">
        <v>2</v>
      </c>
    </row>
    <row r="31" spans="1:24" s="53" customFormat="1" x14ac:dyDescent="0.25">
      <c r="A31" s="33"/>
      <c r="B31" s="34"/>
      <c r="C31" s="34"/>
      <c r="D31" s="34"/>
      <c r="E31" s="35"/>
      <c r="F31" s="36"/>
      <c r="G31" s="37"/>
      <c r="H31" s="38"/>
      <c r="I31" s="39"/>
      <c r="J31" s="34"/>
      <c r="K31" s="37"/>
      <c r="L31" s="34"/>
      <c r="M31" s="34"/>
      <c r="N31" s="49">
        <v>44530</v>
      </c>
      <c r="O31" s="41"/>
      <c r="P31" s="50">
        <v>3000</v>
      </c>
      <c r="Q31" s="51">
        <v>44531</v>
      </c>
      <c r="R31" s="52"/>
      <c r="S31" s="50"/>
      <c r="T31" s="50"/>
      <c r="U31" s="45"/>
      <c r="V31" s="46"/>
      <c r="W31" s="47"/>
      <c r="X31" s="53">
        <v>2</v>
      </c>
    </row>
    <row r="32" spans="1:24" s="53" customFormat="1" x14ac:dyDescent="0.25">
      <c r="A32" s="33"/>
      <c r="B32" s="34"/>
      <c r="C32" s="34"/>
      <c r="D32" s="34"/>
      <c r="E32" s="35"/>
      <c r="F32" s="36"/>
      <c r="G32" s="37"/>
      <c r="H32" s="38"/>
      <c r="I32" s="39"/>
      <c r="J32" s="34"/>
      <c r="K32" s="37"/>
      <c r="L32" s="34"/>
      <c r="M32" s="34"/>
      <c r="N32" s="49">
        <v>44550</v>
      </c>
      <c r="O32" s="41"/>
      <c r="P32" s="50">
        <v>3000</v>
      </c>
      <c r="Q32" s="51">
        <v>44550</v>
      </c>
      <c r="R32" s="52"/>
      <c r="S32" s="50"/>
      <c r="T32" s="50"/>
      <c r="U32" s="45"/>
      <c r="V32" s="46"/>
      <c r="W32" s="47"/>
      <c r="X32" s="53">
        <v>2</v>
      </c>
    </row>
    <row r="33" spans="1:24" s="53" customFormat="1" x14ac:dyDescent="0.25">
      <c r="A33" s="33"/>
      <c r="B33" s="34"/>
      <c r="C33" s="34"/>
      <c r="D33" s="34"/>
      <c r="E33" s="35"/>
      <c r="F33" s="36"/>
      <c r="G33" s="37"/>
      <c r="H33" s="38"/>
      <c r="I33" s="39"/>
      <c r="J33" s="34"/>
      <c r="K33" s="37"/>
      <c r="L33" s="34"/>
      <c r="M33" s="34"/>
      <c r="N33" s="49"/>
      <c r="O33" s="41"/>
      <c r="P33" s="50"/>
      <c r="Q33" s="51"/>
      <c r="R33" s="52"/>
      <c r="S33" s="50"/>
      <c r="T33" s="50"/>
      <c r="U33" s="45"/>
      <c r="V33" s="46"/>
      <c r="W33" s="47"/>
      <c r="X33" s="53">
        <v>2</v>
      </c>
    </row>
    <row r="34" spans="1:24" s="48" customFormat="1" ht="93.75" customHeight="1" x14ac:dyDescent="0.25">
      <c r="A34" s="33">
        <v>3</v>
      </c>
      <c r="B34" s="34"/>
      <c r="C34" s="34"/>
      <c r="D34" s="34" t="s">
        <v>59</v>
      </c>
      <c r="E34" s="54" t="s">
        <v>66</v>
      </c>
      <c r="F34" s="36">
        <v>44190</v>
      </c>
      <c r="G34" s="37" t="s">
        <v>67</v>
      </c>
      <c r="H34" s="38">
        <v>23327.88</v>
      </c>
      <c r="I34" s="39">
        <f>IF(X34 = 3, H34 + SUM(S34:S38) - SUM(T34:T38) - SUM(P34:P38) - V34,0)</f>
        <v>0</v>
      </c>
      <c r="J34" s="34"/>
      <c r="K34" s="37" t="s">
        <v>68</v>
      </c>
      <c r="L34" s="34"/>
      <c r="M34" s="34" t="s">
        <v>62</v>
      </c>
      <c r="N34" s="40">
        <v>44286</v>
      </c>
      <c r="O34" s="41" t="s">
        <v>57</v>
      </c>
      <c r="P34" s="42">
        <v>5831.97</v>
      </c>
      <c r="Q34" s="43">
        <v>44296</v>
      </c>
      <c r="R34" s="44"/>
      <c r="S34" s="42"/>
      <c r="T34" s="42"/>
      <c r="U34" s="45"/>
      <c r="V34" s="46"/>
      <c r="W34" s="47"/>
      <c r="X34" s="48">
        <v>3</v>
      </c>
    </row>
    <row r="35" spans="1:24" s="53" customFormat="1" x14ac:dyDescent="0.25">
      <c r="A35" s="33"/>
      <c r="B35" s="34"/>
      <c r="C35" s="34"/>
      <c r="D35" s="34"/>
      <c r="E35" s="54"/>
      <c r="F35" s="36"/>
      <c r="G35" s="37"/>
      <c r="H35" s="38"/>
      <c r="I35" s="39"/>
      <c r="J35" s="34"/>
      <c r="K35" s="37"/>
      <c r="L35" s="34"/>
      <c r="M35" s="34"/>
      <c r="N35" s="40">
        <v>44377</v>
      </c>
      <c r="O35" s="41"/>
      <c r="P35" s="50">
        <v>5831.97</v>
      </c>
      <c r="Q35" s="43">
        <v>44399</v>
      </c>
      <c r="R35" s="52"/>
      <c r="S35" s="50"/>
      <c r="T35" s="50"/>
      <c r="U35" s="45"/>
      <c r="V35" s="46"/>
      <c r="W35" s="47"/>
      <c r="X35" s="53">
        <v>3</v>
      </c>
    </row>
    <row r="36" spans="1:24" s="53" customFormat="1" x14ac:dyDescent="0.25">
      <c r="A36" s="33"/>
      <c r="B36" s="34"/>
      <c r="C36" s="34"/>
      <c r="D36" s="34"/>
      <c r="E36" s="54"/>
      <c r="F36" s="36"/>
      <c r="G36" s="37"/>
      <c r="H36" s="38"/>
      <c r="I36" s="39"/>
      <c r="J36" s="34"/>
      <c r="K36" s="37"/>
      <c r="L36" s="34"/>
      <c r="M36" s="34"/>
      <c r="N36" s="49">
        <v>44459</v>
      </c>
      <c r="O36" s="41"/>
      <c r="P36" s="50">
        <v>5831.97</v>
      </c>
      <c r="Q36" s="51">
        <v>44468</v>
      </c>
      <c r="R36" s="52"/>
      <c r="S36" s="50"/>
      <c r="T36" s="50"/>
      <c r="U36" s="45"/>
      <c r="V36" s="46"/>
      <c r="W36" s="47"/>
      <c r="X36" s="53">
        <v>3</v>
      </c>
    </row>
    <row r="37" spans="1:24" s="53" customFormat="1" x14ac:dyDescent="0.25">
      <c r="A37" s="33"/>
      <c r="B37" s="34"/>
      <c r="C37" s="34"/>
      <c r="D37" s="34"/>
      <c r="E37" s="54"/>
      <c r="F37" s="36"/>
      <c r="G37" s="37"/>
      <c r="H37" s="38"/>
      <c r="I37" s="39"/>
      <c r="J37" s="34"/>
      <c r="K37" s="37"/>
      <c r="L37" s="34"/>
      <c r="M37" s="34"/>
      <c r="N37" s="49">
        <v>44545</v>
      </c>
      <c r="O37" s="41"/>
      <c r="P37" s="50">
        <v>5831.97</v>
      </c>
      <c r="Q37" s="51">
        <v>44551</v>
      </c>
      <c r="R37" s="52"/>
      <c r="S37" s="50"/>
      <c r="T37" s="50"/>
      <c r="U37" s="45"/>
      <c r="V37" s="46"/>
      <c r="W37" s="47"/>
      <c r="X37" s="53">
        <v>3</v>
      </c>
    </row>
    <row r="38" spans="1:24" s="53" customFormat="1" x14ac:dyDescent="0.25">
      <c r="A38" s="33"/>
      <c r="B38" s="34"/>
      <c r="C38" s="34"/>
      <c r="D38" s="34"/>
      <c r="E38" s="54"/>
      <c r="F38" s="36"/>
      <c r="G38" s="37"/>
      <c r="H38" s="38"/>
      <c r="I38" s="39"/>
      <c r="J38" s="34"/>
      <c r="K38" s="37"/>
      <c r="L38" s="34"/>
      <c r="M38" s="34"/>
      <c r="N38" s="49"/>
      <c r="O38" s="41"/>
      <c r="P38" s="50"/>
      <c r="Q38" s="51"/>
      <c r="R38" s="52"/>
      <c r="S38" s="50"/>
      <c r="T38" s="50"/>
      <c r="U38" s="45"/>
      <c r="V38" s="46"/>
      <c r="W38" s="47"/>
      <c r="X38" s="53">
        <v>3</v>
      </c>
    </row>
    <row r="39" spans="1:24" s="48" customFormat="1" ht="105.75" customHeight="1" x14ac:dyDescent="0.25">
      <c r="A39" s="33">
        <v>4</v>
      </c>
      <c r="B39" s="34"/>
      <c r="C39" s="34"/>
      <c r="D39" s="34" t="s">
        <v>59</v>
      </c>
      <c r="E39" s="55" t="s">
        <v>69</v>
      </c>
      <c r="F39" s="56">
        <v>44221</v>
      </c>
      <c r="G39" s="57" t="s">
        <v>70</v>
      </c>
      <c r="H39" s="58">
        <v>27288.84</v>
      </c>
      <c r="I39" s="59">
        <f>IF(X39 = 5, H39 + SUM(S39:S51) - SUM(T39:T51) - SUM(P39:P51) - V39,0)</f>
        <v>0</v>
      </c>
      <c r="J39" s="60"/>
      <c r="K39" s="61" t="s">
        <v>71</v>
      </c>
      <c r="L39" s="60"/>
      <c r="M39" s="34" t="s">
        <v>62</v>
      </c>
      <c r="N39" s="40">
        <v>44243</v>
      </c>
      <c r="O39" s="41" t="s">
        <v>57</v>
      </c>
      <c r="P39" s="42">
        <v>2274.0700000000002</v>
      </c>
      <c r="Q39" s="43">
        <v>44243</v>
      </c>
      <c r="R39" s="44"/>
      <c r="S39" s="42"/>
      <c r="T39" s="42"/>
      <c r="U39" s="45"/>
      <c r="V39" s="46"/>
      <c r="W39" s="47"/>
      <c r="X39" s="48">
        <v>5</v>
      </c>
    </row>
    <row r="40" spans="1:24" s="53" customFormat="1" x14ac:dyDescent="0.25">
      <c r="A40" s="33"/>
      <c r="B40" s="34"/>
      <c r="C40" s="34"/>
      <c r="D40" s="34"/>
      <c r="E40" s="55"/>
      <c r="F40" s="56"/>
      <c r="G40" s="57"/>
      <c r="H40" s="58"/>
      <c r="I40" s="59"/>
      <c r="J40" s="60"/>
      <c r="K40" s="61"/>
      <c r="L40" s="60"/>
      <c r="M40" s="34"/>
      <c r="N40" s="49">
        <v>44236</v>
      </c>
      <c r="O40" s="41"/>
      <c r="P40" s="50">
        <v>2274.0700000000002</v>
      </c>
      <c r="Q40" s="51">
        <v>44242</v>
      </c>
      <c r="R40" s="52"/>
      <c r="S40" s="50"/>
      <c r="T40" s="50"/>
      <c r="U40" s="45"/>
      <c r="V40" s="46"/>
      <c r="W40" s="47"/>
      <c r="X40" s="53">
        <v>5</v>
      </c>
    </row>
    <row r="41" spans="1:24" s="53" customFormat="1" x14ac:dyDescent="0.25">
      <c r="A41" s="33"/>
      <c r="B41" s="34"/>
      <c r="C41" s="34"/>
      <c r="D41" s="34"/>
      <c r="E41" s="55"/>
      <c r="F41" s="56"/>
      <c r="G41" s="57"/>
      <c r="H41" s="58"/>
      <c r="I41" s="59"/>
      <c r="J41" s="60"/>
      <c r="K41" s="61"/>
      <c r="L41" s="60"/>
      <c r="M41" s="34"/>
      <c r="N41" s="49">
        <v>44271</v>
      </c>
      <c r="O41" s="41"/>
      <c r="P41" s="50">
        <v>2274.0700000000002</v>
      </c>
      <c r="Q41" s="51">
        <v>44271</v>
      </c>
      <c r="R41" s="52"/>
      <c r="S41" s="50"/>
      <c r="T41" s="50"/>
      <c r="U41" s="45"/>
      <c r="V41" s="46"/>
      <c r="W41" s="47"/>
      <c r="X41" s="53">
        <v>5</v>
      </c>
    </row>
    <row r="42" spans="1:24" s="53" customFormat="1" x14ac:dyDescent="0.25">
      <c r="A42" s="33"/>
      <c r="B42" s="34"/>
      <c r="C42" s="34"/>
      <c r="D42" s="34"/>
      <c r="E42" s="55"/>
      <c r="F42" s="56"/>
      <c r="G42" s="57"/>
      <c r="H42" s="58"/>
      <c r="I42" s="59"/>
      <c r="J42" s="60"/>
      <c r="K42" s="61"/>
      <c r="L42" s="60"/>
      <c r="M42" s="34"/>
      <c r="N42" s="49">
        <v>44301</v>
      </c>
      <c r="O42" s="41"/>
      <c r="P42" s="50">
        <v>2274.0700000000002</v>
      </c>
      <c r="Q42" s="51">
        <v>44365</v>
      </c>
      <c r="R42" s="52"/>
      <c r="S42" s="50"/>
      <c r="T42" s="50"/>
      <c r="U42" s="45"/>
      <c r="V42" s="46"/>
      <c r="W42" s="47"/>
      <c r="X42" s="53">
        <v>5</v>
      </c>
    </row>
    <row r="43" spans="1:24" s="53" customFormat="1" x14ac:dyDescent="0.25">
      <c r="A43" s="33"/>
      <c r="B43" s="34"/>
      <c r="C43" s="34"/>
      <c r="D43" s="34"/>
      <c r="E43" s="55"/>
      <c r="F43" s="56"/>
      <c r="G43" s="57"/>
      <c r="H43" s="58"/>
      <c r="I43" s="59"/>
      <c r="J43" s="60"/>
      <c r="K43" s="61"/>
      <c r="L43" s="60"/>
      <c r="M43" s="34"/>
      <c r="N43" s="49">
        <v>44330</v>
      </c>
      <c r="O43" s="41"/>
      <c r="P43" s="50">
        <v>2274.0700000000002</v>
      </c>
      <c r="Q43" s="51">
        <v>44365</v>
      </c>
      <c r="R43" s="52"/>
      <c r="S43" s="50"/>
      <c r="T43" s="50"/>
      <c r="U43" s="45"/>
      <c r="V43" s="46"/>
      <c r="W43" s="47"/>
      <c r="X43" s="53">
        <v>5</v>
      </c>
    </row>
    <row r="44" spans="1:24" s="53" customFormat="1" x14ac:dyDescent="0.25">
      <c r="A44" s="33"/>
      <c r="B44" s="34"/>
      <c r="C44" s="34"/>
      <c r="D44" s="34"/>
      <c r="E44" s="55"/>
      <c r="F44" s="56"/>
      <c r="G44" s="57"/>
      <c r="H44" s="58"/>
      <c r="I44" s="59"/>
      <c r="J44" s="60"/>
      <c r="K44" s="61"/>
      <c r="L44" s="60"/>
      <c r="M44" s="34"/>
      <c r="N44" s="49">
        <v>44377</v>
      </c>
      <c r="O44" s="41"/>
      <c r="P44" s="50">
        <v>2274.0700000000002</v>
      </c>
      <c r="Q44" s="51">
        <v>44399</v>
      </c>
      <c r="R44" s="52"/>
      <c r="S44" s="50"/>
      <c r="T44" s="50"/>
      <c r="U44" s="45"/>
      <c r="V44" s="46"/>
      <c r="W44" s="47"/>
      <c r="X44" s="53">
        <v>5</v>
      </c>
    </row>
    <row r="45" spans="1:24" s="53" customFormat="1" x14ac:dyDescent="0.25">
      <c r="A45" s="33"/>
      <c r="B45" s="34"/>
      <c r="C45" s="34"/>
      <c r="D45" s="34"/>
      <c r="E45" s="55"/>
      <c r="F45" s="56"/>
      <c r="G45" s="57"/>
      <c r="H45" s="58"/>
      <c r="I45" s="59"/>
      <c r="J45" s="60"/>
      <c r="K45" s="61"/>
      <c r="L45" s="60"/>
      <c r="M45" s="34"/>
      <c r="N45" s="49">
        <v>44408</v>
      </c>
      <c r="O45" s="41"/>
      <c r="P45" s="50">
        <v>2274.0700000000002</v>
      </c>
      <c r="Q45" s="51">
        <v>44411</v>
      </c>
      <c r="R45" s="52"/>
      <c r="S45" s="50"/>
      <c r="T45" s="50"/>
      <c r="U45" s="45"/>
      <c r="V45" s="46"/>
      <c r="W45" s="47"/>
      <c r="X45" s="53">
        <v>5</v>
      </c>
    </row>
    <row r="46" spans="1:24" s="53" customFormat="1" x14ac:dyDescent="0.25">
      <c r="A46" s="33"/>
      <c r="B46" s="34"/>
      <c r="C46" s="34"/>
      <c r="D46" s="34"/>
      <c r="E46" s="55"/>
      <c r="F46" s="56"/>
      <c r="G46" s="57"/>
      <c r="H46" s="58"/>
      <c r="I46" s="59"/>
      <c r="J46" s="60"/>
      <c r="K46" s="61"/>
      <c r="L46" s="60"/>
      <c r="M46" s="34"/>
      <c r="N46" s="49">
        <v>44439</v>
      </c>
      <c r="O46" s="41"/>
      <c r="P46" s="50">
        <v>2274.0700000000002</v>
      </c>
      <c r="Q46" s="51">
        <v>44440</v>
      </c>
      <c r="R46" s="52"/>
      <c r="S46" s="50"/>
      <c r="T46" s="50"/>
      <c r="U46" s="45"/>
      <c r="V46" s="46"/>
      <c r="W46" s="47"/>
      <c r="X46" s="53">
        <v>5</v>
      </c>
    </row>
    <row r="47" spans="1:24" s="53" customFormat="1" x14ac:dyDescent="0.25">
      <c r="A47" s="33"/>
      <c r="B47" s="34"/>
      <c r="C47" s="34"/>
      <c r="D47" s="34"/>
      <c r="E47" s="55"/>
      <c r="F47" s="56"/>
      <c r="G47" s="57"/>
      <c r="H47" s="58"/>
      <c r="I47" s="59"/>
      <c r="J47" s="60"/>
      <c r="K47" s="61"/>
      <c r="L47" s="60"/>
      <c r="M47" s="34"/>
      <c r="N47" s="49">
        <v>44469</v>
      </c>
      <c r="O47" s="41"/>
      <c r="P47" s="50">
        <v>2274.0700000000002</v>
      </c>
      <c r="Q47" s="51">
        <v>44494</v>
      </c>
      <c r="R47" s="52"/>
      <c r="S47" s="50"/>
      <c r="T47" s="50"/>
      <c r="U47" s="45"/>
      <c r="V47" s="46"/>
      <c r="W47" s="47"/>
      <c r="X47" s="53">
        <v>5</v>
      </c>
    </row>
    <row r="48" spans="1:24" s="53" customFormat="1" x14ac:dyDescent="0.25">
      <c r="A48" s="33"/>
      <c r="B48" s="34"/>
      <c r="C48" s="34"/>
      <c r="D48" s="34"/>
      <c r="E48" s="55"/>
      <c r="F48" s="56"/>
      <c r="G48" s="57"/>
      <c r="H48" s="58"/>
      <c r="I48" s="59"/>
      <c r="J48" s="60"/>
      <c r="K48" s="61"/>
      <c r="L48" s="60"/>
      <c r="M48" s="34"/>
      <c r="N48" s="49">
        <v>44498</v>
      </c>
      <c r="O48" s="41"/>
      <c r="P48" s="50">
        <v>2274.0700000000002</v>
      </c>
      <c r="Q48" s="51">
        <v>44509</v>
      </c>
      <c r="R48" s="52"/>
      <c r="S48" s="50"/>
      <c r="T48" s="50"/>
      <c r="U48" s="45"/>
      <c r="V48" s="46"/>
      <c r="W48" s="47"/>
      <c r="X48" s="53">
        <v>5</v>
      </c>
    </row>
    <row r="49" spans="1:24" s="53" customFormat="1" x14ac:dyDescent="0.25">
      <c r="A49" s="33"/>
      <c r="B49" s="34"/>
      <c r="C49" s="34"/>
      <c r="D49" s="34"/>
      <c r="E49" s="55"/>
      <c r="F49" s="56"/>
      <c r="G49" s="57"/>
      <c r="H49" s="58"/>
      <c r="I49" s="59"/>
      <c r="J49" s="60"/>
      <c r="K49" s="61"/>
      <c r="L49" s="60"/>
      <c r="M49" s="34"/>
      <c r="N49" s="49">
        <v>44530</v>
      </c>
      <c r="O49" s="41"/>
      <c r="P49" s="50">
        <v>2274.0700000000002</v>
      </c>
      <c r="Q49" s="51">
        <v>44531</v>
      </c>
      <c r="R49" s="52"/>
      <c r="S49" s="50"/>
      <c r="T49" s="50"/>
      <c r="U49" s="45"/>
      <c r="V49" s="46"/>
      <c r="W49" s="47"/>
      <c r="X49" s="53">
        <v>5</v>
      </c>
    </row>
    <row r="50" spans="1:24" s="53" customFormat="1" x14ac:dyDescent="0.25">
      <c r="A50" s="33"/>
      <c r="B50" s="34"/>
      <c r="C50" s="34"/>
      <c r="D50" s="34"/>
      <c r="E50" s="55"/>
      <c r="F50" s="56"/>
      <c r="G50" s="57"/>
      <c r="H50" s="58"/>
      <c r="I50" s="59"/>
      <c r="J50" s="60"/>
      <c r="K50" s="61"/>
      <c r="L50" s="60"/>
      <c r="M50" s="34"/>
      <c r="N50" s="49">
        <v>44553</v>
      </c>
      <c r="O50" s="41"/>
      <c r="P50" s="50">
        <v>2274.0700000000002</v>
      </c>
      <c r="Q50" s="51">
        <v>44553</v>
      </c>
      <c r="R50" s="52"/>
      <c r="S50" s="50"/>
      <c r="T50" s="50"/>
      <c r="U50" s="45"/>
      <c r="V50" s="46"/>
      <c r="W50" s="47"/>
      <c r="X50" s="53">
        <v>5</v>
      </c>
    </row>
    <row r="51" spans="1:24" s="53" customFormat="1" x14ac:dyDescent="0.25">
      <c r="A51" s="33"/>
      <c r="B51" s="34"/>
      <c r="C51" s="34"/>
      <c r="D51" s="34"/>
      <c r="E51" s="55"/>
      <c r="F51" s="56"/>
      <c r="G51" s="57"/>
      <c r="H51" s="58"/>
      <c r="I51" s="59"/>
      <c r="J51" s="60"/>
      <c r="K51" s="61"/>
      <c r="L51" s="60"/>
      <c r="M51" s="34"/>
      <c r="N51" s="49"/>
      <c r="O51" s="41"/>
      <c r="P51" s="50"/>
      <c r="Q51" s="51"/>
      <c r="R51" s="52"/>
      <c r="S51" s="50"/>
      <c r="T51" s="50"/>
      <c r="U51" s="45"/>
      <c r="V51" s="46"/>
      <c r="W51" s="47"/>
      <c r="X51" s="53">
        <v>5</v>
      </c>
    </row>
    <row r="52" spans="1:24" s="48" customFormat="1" ht="93.75" x14ac:dyDescent="0.3">
      <c r="A52" s="62">
        <v>5</v>
      </c>
      <c r="B52" s="44"/>
      <c r="C52" s="44"/>
      <c r="D52" s="44" t="s">
        <v>59</v>
      </c>
      <c r="E52" s="63" t="s">
        <v>26</v>
      </c>
      <c r="F52" s="64">
        <v>44221</v>
      </c>
      <c r="G52" s="65" t="s">
        <v>72</v>
      </c>
      <c r="H52" s="66">
        <v>21998</v>
      </c>
      <c r="I52" s="67">
        <f>IF(X52 = 6, H52 + SUM(S52:S52) - SUM(T52:T52) - SUM(P52:P52) - V52,0)</f>
        <v>0</v>
      </c>
      <c r="J52" s="44"/>
      <c r="K52" s="65" t="s">
        <v>73</v>
      </c>
      <c r="L52" s="44"/>
      <c r="M52" s="44" t="s">
        <v>62</v>
      </c>
      <c r="N52" s="40">
        <v>44221</v>
      </c>
      <c r="O52" s="68" t="s">
        <v>57</v>
      </c>
      <c r="P52" s="42">
        <v>21998</v>
      </c>
      <c r="Q52" s="43">
        <v>44237</v>
      </c>
      <c r="R52" s="44"/>
      <c r="S52" s="42"/>
      <c r="T52" s="42"/>
      <c r="U52" s="42"/>
      <c r="V52" s="69"/>
      <c r="W52" s="70"/>
      <c r="X52" s="48">
        <v>6</v>
      </c>
    </row>
    <row r="53" spans="1:24" s="48" customFormat="1" ht="93.75" x14ac:dyDescent="0.3">
      <c r="A53" s="62">
        <v>6</v>
      </c>
      <c r="B53" s="44"/>
      <c r="C53" s="44"/>
      <c r="D53" s="44" t="s">
        <v>59</v>
      </c>
      <c r="E53" s="63" t="s">
        <v>74</v>
      </c>
      <c r="F53" s="64">
        <v>44238</v>
      </c>
      <c r="G53" s="65" t="s">
        <v>75</v>
      </c>
      <c r="H53" s="66">
        <v>113526.37</v>
      </c>
      <c r="I53" s="67">
        <f>IF(X53 = 7, H53 + SUM(S53:S53) - SUM(T53:T53) - SUM(P53:P53) - V53,0)</f>
        <v>0</v>
      </c>
      <c r="J53" s="44"/>
      <c r="K53" s="65" t="s">
        <v>76</v>
      </c>
      <c r="L53" s="44"/>
      <c r="M53" s="44" t="s">
        <v>62</v>
      </c>
      <c r="N53" s="40">
        <v>44238</v>
      </c>
      <c r="O53" s="68" t="s">
        <v>57</v>
      </c>
      <c r="P53" s="42">
        <v>113526.37</v>
      </c>
      <c r="Q53" s="43">
        <v>44242</v>
      </c>
      <c r="R53" s="44"/>
      <c r="S53" s="42"/>
      <c r="T53" s="42"/>
      <c r="U53" s="42"/>
      <c r="V53" s="69"/>
      <c r="W53" s="70"/>
      <c r="X53" s="48">
        <v>7</v>
      </c>
    </row>
    <row r="54" spans="1:24" s="48" customFormat="1" ht="80.25" customHeight="1" x14ac:dyDescent="0.3">
      <c r="A54" s="62">
        <v>7</v>
      </c>
      <c r="B54" s="44"/>
      <c r="C54" s="44"/>
      <c r="D54" s="44" t="s">
        <v>59</v>
      </c>
      <c r="E54" s="63" t="s">
        <v>77</v>
      </c>
      <c r="F54" s="71">
        <v>44247</v>
      </c>
      <c r="G54" s="65" t="s">
        <v>78</v>
      </c>
      <c r="H54" s="66">
        <v>5000</v>
      </c>
      <c r="I54" s="72">
        <f>IF(X54 = 8, H54 + SUM(S54:S54) - SUM(T54:T54) - SUM(P54:P54) - V54,0)</f>
        <v>0</v>
      </c>
      <c r="J54" s="68"/>
      <c r="K54" s="65" t="s">
        <v>79</v>
      </c>
      <c r="L54" s="44"/>
      <c r="M54" s="44" t="s">
        <v>62</v>
      </c>
      <c r="N54" s="40">
        <v>44247</v>
      </c>
      <c r="O54" s="68" t="s">
        <v>80</v>
      </c>
      <c r="P54" s="42">
        <v>5000</v>
      </c>
      <c r="Q54" s="43">
        <v>44258</v>
      </c>
      <c r="R54" s="44"/>
      <c r="S54" s="42"/>
      <c r="T54" s="42"/>
      <c r="U54" s="42"/>
      <c r="V54" s="69"/>
      <c r="W54" s="70"/>
      <c r="X54" s="48">
        <v>8</v>
      </c>
    </row>
    <row r="55" spans="1:24" s="48" customFormat="1" ht="93.75" x14ac:dyDescent="0.3">
      <c r="A55" s="62">
        <v>8</v>
      </c>
      <c r="B55" s="44"/>
      <c r="C55" s="44"/>
      <c r="D55" s="44" t="s">
        <v>59</v>
      </c>
      <c r="E55" s="63" t="s">
        <v>81</v>
      </c>
      <c r="F55" s="71">
        <v>44252</v>
      </c>
      <c r="G55" s="65" t="s">
        <v>82</v>
      </c>
      <c r="H55" s="66">
        <v>36136.5</v>
      </c>
      <c r="I55" s="67">
        <f>IF(X55 = 9, H55 + SUM(S55:S55) - SUM(T55:T55) - SUM(P55:P55) - V55,0)</f>
        <v>0</v>
      </c>
      <c r="J55" s="44"/>
      <c r="K55" s="65" t="s">
        <v>83</v>
      </c>
      <c r="L55" s="44"/>
      <c r="M55" s="44" t="s">
        <v>62</v>
      </c>
      <c r="N55" s="40">
        <v>44284</v>
      </c>
      <c r="O55" s="68" t="s">
        <v>57</v>
      </c>
      <c r="P55" s="42">
        <v>36136.5</v>
      </c>
      <c r="Q55" s="43">
        <v>44298</v>
      </c>
      <c r="R55" s="44"/>
      <c r="S55" s="42"/>
      <c r="T55" s="42"/>
      <c r="U55" s="42"/>
      <c r="V55" s="69"/>
      <c r="W55" s="70"/>
      <c r="X55" s="48">
        <v>9</v>
      </c>
    </row>
    <row r="56" spans="1:24" s="48" customFormat="1" ht="93.75" x14ac:dyDescent="0.3">
      <c r="A56" s="62">
        <v>9</v>
      </c>
      <c r="B56" s="44"/>
      <c r="C56" s="44"/>
      <c r="D56" s="44" t="s">
        <v>59</v>
      </c>
      <c r="E56" s="63" t="s">
        <v>33</v>
      </c>
      <c r="F56" s="71">
        <v>44253</v>
      </c>
      <c r="G56" s="65" t="s">
        <v>84</v>
      </c>
      <c r="H56" s="73">
        <v>9378.4</v>
      </c>
      <c r="I56" s="67">
        <f>IF(X56 = 10, H56 + SUM(S56:S56) - SUM(T56:T56) - SUM(P56:P56) - V56,0)</f>
        <v>0</v>
      </c>
      <c r="J56" s="44"/>
      <c r="K56" s="65" t="s">
        <v>85</v>
      </c>
      <c r="L56" s="44"/>
      <c r="M56" s="44"/>
      <c r="N56" s="40">
        <v>44253</v>
      </c>
      <c r="O56" s="68" t="s">
        <v>57</v>
      </c>
      <c r="P56" s="42">
        <v>9378.4</v>
      </c>
      <c r="Q56" s="43">
        <v>44270</v>
      </c>
      <c r="R56" s="44"/>
      <c r="S56" s="42"/>
      <c r="T56" s="42"/>
      <c r="U56" s="42"/>
      <c r="V56" s="69"/>
      <c r="W56" s="70"/>
      <c r="X56" s="48">
        <v>10</v>
      </c>
    </row>
    <row r="57" spans="1:24" s="48" customFormat="1" ht="93.75" x14ac:dyDescent="0.3">
      <c r="A57" s="62">
        <v>10</v>
      </c>
      <c r="B57" s="44"/>
      <c r="C57" s="44"/>
      <c r="D57" s="44" t="s">
        <v>59</v>
      </c>
      <c r="E57" s="63" t="s">
        <v>86</v>
      </c>
      <c r="F57" s="71">
        <v>44264</v>
      </c>
      <c r="G57" s="65" t="s">
        <v>87</v>
      </c>
      <c r="H57" s="73">
        <v>25090</v>
      </c>
      <c r="I57" s="67">
        <f>IF(X57 = 11, H57 + SUM(S57:S57) - SUM(T57:T57) - SUM(P57:P57) - V57,0)</f>
        <v>0</v>
      </c>
      <c r="J57" s="44"/>
      <c r="K57" s="65" t="s">
        <v>88</v>
      </c>
      <c r="L57" s="44"/>
      <c r="M57" s="44"/>
      <c r="N57" s="40">
        <v>44264</v>
      </c>
      <c r="O57" s="68" t="s">
        <v>57</v>
      </c>
      <c r="P57" s="42">
        <v>25090</v>
      </c>
      <c r="Q57" s="43">
        <v>44270</v>
      </c>
      <c r="R57" s="44"/>
      <c r="S57" s="42"/>
      <c r="T57" s="42"/>
      <c r="U57" s="42"/>
      <c r="V57" s="69"/>
      <c r="W57" s="70"/>
      <c r="X57" s="48">
        <v>11</v>
      </c>
    </row>
    <row r="58" spans="1:24" s="48" customFormat="1" ht="44.25" customHeight="1" x14ac:dyDescent="0.3">
      <c r="A58" s="62">
        <v>11</v>
      </c>
      <c r="B58" s="44"/>
      <c r="C58" s="44"/>
      <c r="D58" s="44" t="s">
        <v>59</v>
      </c>
      <c r="E58" s="63" t="s">
        <v>89</v>
      </c>
      <c r="F58" s="64">
        <v>44292</v>
      </c>
      <c r="G58" s="65" t="s">
        <v>90</v>
      </c>
      <c r="H58" s="66">
        <v>13630</v>
      </c>
      <c r="I58" s="67">
        <f>IF(X58 = 12, H58 + SUM(S58:S58) - SUM(T58:T58) - SUM(P58:P58) - V58,0)</f>
        <v>0</v>
      </c>
      <c r="J58" s="44"/>
      <c r="K58" s="65" t="s">
        <v>73</v>
      </c>
      <c r="L58" s="44"/>
      <c r="M58" s="44"/>
      <c r="N58" s="40">
        <v>44292</v>
      </c>
      <c r="O58" s="68" t="s">
        <v>57</v>
      </c>
      <c r="P58" s="42">
        <v>13630</v>
      </c>
      <c r="Q58" s="43">
        <v>44309</v>
      </c>
      <c r="R58" s="44"/>
      <c r="S58" s="42"/>
      <c r="T58" s="42"/>
      <c r="U58" s="42"/>
      <c r="V58" s="69"/>
      <c r="W58" s="70"/>
      <c r="X58" s="48">
        <v>12</v>
      </c>
    </row>
    <row r="59" spans="1:24" s="48" customFormat="1" ht="67.5" customHeight="1" x14ac:dyDescent="0.3">
      <c r="A59" s="62">
        <v>12</v>
      </c>
      <c r="B59" s="44"/>
      <c r="C59" s="44"/>
      <c r="D59" s="44" t="s">
        <v>59</v>
      </c>
      <c r="E59" s="63" t="s">
        <v>26</v>
      </c>
      <c r="F59" s="64">
        <v>44300</v>
      </c>
      <c r="G59" s="65" t="s">
        <v>91</v>
      </c>
      <c r="H59" s="66">
        <v>3738</v>
      </c>
      <c r="I59" s="67">
        <f>IF(X59 = 13, H59 + SUM(S59:S59) - SUM(T59:T59) - SUM(P59:P59) - V59,0)</f>
        <v>0</v>
      </c>
      <c r="J59" s="44"/>
      <c r="K59" s="65" t="s">
        <v>92</v>
      </c>
      <c r="L59" s="44"/>
      <c r="M59" s="44"/>
      <c r="N59" s="40">
        <v>44364</v>
      </c>
      <c r="O59" s="68" t="s">
        <v>57</v>
      </c>
      <c r="P59" s="42">
        <v>3738</v>
      </c>
      <c r="Q59" s="43">
        <v>44424</v>
      </c>
      <c r="R59" s="44"/>
      <c r="S59" s="42"/>
      <c r="T59" s="42"/>
      <c r="U59" s="42"/>
      <c r="V59" s="69"/>
      <c r="W59" s="70"/>
      <c r="X59" s="48">
        <v>13</v>
      </c>
    </row>
    <row r="60" spans="1:24" s="48" customFormat="1" ht="39.75" customHeight="1" x14ac:dyDescent="0.3">
      <c r="A60" s="62">
        <v>13</v>
      </c>
      <c r="B60" s="44"/>
      <c r="C60" s="44"/>
      <c r="D60" s="68" t="s">
        <v>59</v>
      </c>
      <c r="E60" s="63" t="s">
        <v>39</v>
      </c>
      <c r="F60" s="64">
        <v>44306</v>
      </c>
      <c r="G60" s="65" t="s">
        <v>93</v>
      </c>
      <c r="H60" s="66">
        <v>4785</v>
      </c>
      <c r="I60" s="72">
        <f>IF(X60 = 14, H60 + SUM(S60:S60) - SUM(T60:T60) - SUM(P60:P60) - V60,0)</f>
        <v>0</v>
      </c>
      <c r="J60" s="68"/>
      <c r="K60" s="65" t="s">
        <v>94</v>
      </c>
      <c r="L60" s="44"/>
      <c r="M60" s="44"/>
      <c r="N60" s="40">
        <v>44306</v>
      </c>
      <c r="O60" s="68" t="s">
        <v>57</v>
      </c>
      <c r="P60" s="42">
        <v>4785</v>
      </c>
      <c r="Q60" s="43">
        <v>44335</v>
      </c>
      <c r="R60" s="44"/>
      <c r="S60" s="42"/>
      <c r="T60" s="42"/>
      <c r="U60" s="42"/>
      <c r="V60" s="69"/>
      <c r="W60" s="70"/>
      <c r="X60" s="48">
        <v>14</v>
      </c>
    </row>
    <row r="61" spans="1:24" s="48" customFormat="1" ht="41.25" customHeight="1" x14ac:dyDescent="0.3">
      <c r="A61" s="62">
        <v>14</v>
      </c>
      <c r="B61" s="44"/>
      <c r="C61" s="44"/>
      <c r="D61" s="68" t="s">
        <v>59</v>
      </c>
      <c r="E61" s="63" t="s">
        <v>95</v>
      </c>
      <c r="F61" s="64">
        <v>44312</v>
      </c>
      <c r="G61" s="65" t="s">
        <v>96</v>
      </c>
      <c r="H61" s="66">
        <v>1000</v>
      </c>
      <c r="I61" s="72">
        <f>IF(X61 = 15, H61 + SUM(S61:S61) - SUM(T61:T61) - SUM(P61:P61) - V61,0)</f>
        <v>0</v>
      </c>
      <c r="J61" s="68"/>
      <c r="K61" s="65" t="s">
        <v>97</v>
      </c>
      <c r="L61" s="44"/>
      <c r="M61" s="44"/>
      <c r="N61" s="40">
        <v>44313</v>
      </c>
      <c r="O61" s="68" t="s">
        <v>57</v>
      </c>
      <c r="P61" s="42">
        <v>1000</v>
      </c>
      <c r="Q61" s="43">
        <v>44335</v>
      </c>
      <c r="R61" s="44"/>
      <c r="S61" s="42"/>
      <c r="T61" s="42"/>
      <c r="U61" s="42"/>
      <c r="V61" s="69"/>
      <c r="W61" s="70"/>
      <c r="X61" s="48">
        <v>15</v>
      </c>
    </row>
    <row r="62" spans="1:24" s="48" customFormat="1" ht="74.25" customHeight="1" x14ac:dyDescent="0.3">
      <c r="A62" s="62">
        <v>15</v>
      </c>
      <c r="B62" s="44"/>
      <c r="C62" s="44"/>
      <c r="D62" s="68" t="s">
        <v>59</v>
      </c>
      <c r="E62" s="63" t="s">
        <v>98</v>
      </c>
      <c r="F62" s="64">
        <v>44349</v>
      </c>
      <c r="G62" s="65" t="s">
        <v>99</v>
      </c>
      <c r="H62" s="66">
        <v>1000</v>
      </c>
      <c r="I62" s="72">
        <f>IF(X62 = 16, H62 + SUM(S62:S62) - SUM(T62:T62) - SUM(P62:P62) - V62,0)</f>
        <v>0</v>
      </c>
      <c r="J62" s="68"/>
      <c r="K62" s="74" t="s">
        <v>100</v>
      </c>
      <c r="L62" s="44"/>
      <c r="M62" s="44"/>
      <c r="N62" s="40">
        <v>44349</v>
      </c>
      <c r="O62" s="68" t="s">
        <v>57</v>
      </c>
      <c r="P62" s="42">
        <v>1000</v>
      </c>
      <c r="Q62" s="43">
        <v>44355</v>
      </c>
      <c r="R62" s="44"/>
      <c r="S62" s="42"/>
      <c r="T62" s="42"/>
      <c r="U62" s="42"/>
      <c r="V62" s="69"/>
      <c r="W62" s="70"/>
      <c r="X62" s="48">
        <v>16</v>
      </c>
    </row>
    <row r="63" spans="1:24" s="48" customFormat="1" ht="77.25" customHeight="1" x14ac:dyDescent="0.3">
      <c r="A63" s="62">
        <v>16</v>
      </c>
      <c r="B63" s="44"/>
      <c r="C63" s="44"/>
      <c r="D63" s="44" t="s">
        <v>59</v>
      </c>
      <c r="E63" s="63" t="s">
        <v>101</v>
      </c>
      <c r="F63" s="40">
        <v>44348</v>
      </c>
      <c r="G63" s="75" t="s">
        <v>102</v>
      </c>
      <c r="H63" s="76">
        <v>9775.48</v>
      </c>
      <c r="I63" s="67">
        <f>IF(X63 = 17, H63 + SUM(S63:S63) - SUM(T63:T63) - SUM(P63:P63) - V63,0)</f>
        <v>0</v>
      </c>
      <c r="J63" s="44"/>
      <c r="K63" s="77" t="s">
        <v>103</v>
      </c>
      <c r="L63" s="44"/>
      <c r="M63" s="44"/>
      <c r="N63" s="40">
        <v>44348</v>
      </c>
      <c r="O63" s="40" t="s">
        <v>104</v>
      </c>
      <c r="P63" s="42">
        <v>9775.48</v>
      </c>
      <c r="Q63" s="43">
        <v>44356</v>
      </c>
      <c r="R63" s="44"/>
      <c r="S63" s="42"/>
      <c r="T63" s="42"/>
      <c r="U63" s="42"/>
      <c r="V63" s="69"/>
      <c r="W63" s="70"/>
      <c r="X63" s="48">
        <v>17</v>
      </c>
    </row>
    <row r="64" spans="1:24" s="48" customFormat="1" ht="35.25" customHeight="1" x14ac:dyDescent="0.25">
      <c r="A64" s="33">
        <v>17</v>
      </c>
      <c r="B64" s="34"/>
      <c r="C64" s="34"/>
      <c r="D64" s="60" t="s">
        <v>59</v>
      </c>
      <c r="E64" s="78">
        <v>338</v>
      </c>
      <c r="F64" s="79">
        <v>44362</v>
      </c>
      <c r="G64" s="80" t="s">
        <v>105</v>
      </c>
      <c r="H64" s="81">
        <v>16600</v>
      </c>
      <c r="I64" s="39">
        <f>IF(X64 = 18, H64 + SUM(S64:S66) - SUM(T64:T66) - SUM(P64:P66) - V64,0)</f>
        <v>0</v>
      </c>
      <c r="J64" s="34"/>
      <c r="K64" s="80" t="s">
        <v>106</v>
      </c>
      <c r="L64" s="34"/>
      <c r="M64" s="34"/>
      <c r="N64" s="40">
        <v>44400</v>
      </c>
      <c r="O64" s="79" t="s">
        <v>107</v>
      </c>
      <c r="P64" s="42">
        <v>7250</v>
      </c>
      <c r="Q64" s="43">
        <v>44407</v>
      </c>
      <c r="R64" s="44"/>
      <c r="S64" s="42"/>
      <c r="T64" s="42"/>
      <c r="U64" s="45"/>
      <c r="V64" s="46"/>
      <c r="W64" s="47"/>
      <c r="X64" s="48">
        <v>18</v>
      </c>
    </row>
    <row r="65" spans="1:24" s="53" customFormat="1" x14ac:dyDescent="0.25">
      <c r="A65" s="33"/>
      <c r="B65" s="34"/>
      <c r="C65" s="34"/>
      <c r="D65" s="60"/>
      <c r="E65" s="78"/>
      <c r="F65" s="79"/>
      <c r="G65" s="80"/>
      <c r="H65" s="81"/>
      <c r="I65" s="39"/>
      <c r="J65" s="34"/>
      <c r="K65" s="80"/>
      <c r="L65" s="34"/>
      <c r="M65" s="34"/>
      <c r="N65" s="49">
        <v>44400</v>
      </c>
      <c r="O65" s="79"/>
      <c r="P65" s="50">
        <v>350</v>
      </c>
      <c r="Q65" s="51">
        <v>44407</v>
      </c>
      <c r="R65" s="52"/>
      <c r="S65" s="50"/>
      <c r="T65" s="50"/>
      <c r="U65" s="45"/>
      <c r="V65" s="46"/>
      <c r="W65" s="47"/>
      <c r="X65" s="53">
        <v>18</v>
      </c>
    </row>
    <row r="66" spans="1:24" s="53" customFormat="1" ht="33.75" customHeight="1" x14ac:dyDescent="0.25">
      <c r="A66" s="33"/>
      <c r="B66" s="34"/>
      <c r="C66" s="34"/>
      <c r="D66" s="60"/>
      <c r="E66" s="78"/>
      <c r="F66" s="79"/>
      <c r="G66" s="80"/>
      <c r="H66" s="81"/>
      <c r="I66" s="39"/>
      <c r="J66" s="34"/>
      <c r="K66" s="80"/>
      <c r="L66" s="34"/>
      <c r="M66" s="34"/>
      <c r="N66" s="49">
        <v>44400</v>
      </c>
      <c r="O66" s="79"/>
      <c r="P66" s="50">
        <v>9000</v>
      </c>
      <c r="Q66" s="51">
        <v>44407</v>
      </c>
      <c r="R66" s="52"/>
      <c r="S66" s="50"/>
      <c r="T66" s="50"/>
      <c r="U66" s="45"/>
      <c r="V66" s="46"/>
      <c r="W66" s="47"/>
      <c r="X66" s="53">
        <v>18</v>
      </c>
    </row>
    <row r="67" spans="1:24" s="48" customFormat="1" ht="32.25" customHeight="1" x14ac:dyDescent="0.25">
      <c r="A67" s="33">
        <v>18</v>
      </c>
      <c r="B67" s="34"/>
      <c r="C67" s="34"/>
      <c r="D67" s="60" t="s">
        <v>59</v>
      </c>
      <c r="E67" s="78" t="s">
        <v>108</v>
      </c>
      <c r="F67" s="79">
        <v>44362</v>
      </c>
      <c r="G67" s="80" t="s">
        <v>109</v>
      </c>
      <c r="H67" s="81">
        <v>68000</v>
      </c>
      <c r="I67" s="39">
        <f>IF(X67 = 19, H67 + SUM(S67:S68) - SUM(T67:T68) - SUM(P67:P68) - V67,0)</f>
        <v>0</v>
      </c>
      <c r="J67" s="34"/>
      <c r="K67" s="80" t="s">
        <v>106</v>
      </c>
      <c r="L67" s="34"/>
      <c r="M67" s="34"/>
      <c r="N67" s="40">
        <v>44400</v>
      </c>
      <c r="O67" s="79" t="s">
        <v>107</v>
      </c>
      <c r="P67" s="42">
        <v>68000</v>
      </c>
      <c r="Q67" s="43">
        <v>44407</v>
      </c>
      <c r="R67" s="44"/>
      <c r="S67" s="42"/>
      <c r="T67" s="42"/>
      <c r="U67" s="45"/>
      <c r="V67" s="46"/>
      <c r="W67" s="47"/>
      <c r="X67" s="48">
        <v>19</v>
      </c>
    </row>
    <row r="68" spans="1:24" s="53" customFormat="1" ht="44.25" customHeight="1" x14ac:dyDescent="0.25">
      <c r="A68" s="33"/>
      <c r="B68" s="34"/>
      <c r="C68" s="34"/>
      <c r="D68" s="60"/>
      <c r="E68" s="78"/>
      <c r="F68" s="79"/>
      <c r="G68" s="80"/>
      <c r="H68" s="81"/>
      <c r="I68" s="39"/>
      <c r="J68" s="34"/>
      <c r="K68" s="80"/>
      <c r="L68" s="34"/>
      <c r="M68" s="34"/>
      <c r="N68" s="49"/>
      <c r="O68" s="79"/>
      <c r="P68" s="50"/>
      <c r="Q68" s="51"/>
      <c r="R68" s="52"/>
      <c r="S68" s="50"/>
      <c r="T68" s="50"/>
      <c r="U68" s="45"/>
      <c r="V68" s="46"/>
      <c r="W68" s="47"/>
      <c r="X68" s="53">
        <v>19</v>
      </c>
    </row>
    <row r="69" spans="1:24" s="48" customFormat="1" ht="89.25" customHeight="1" x14ac:dyDescent="0.25">
      <c r="A69" s="62">
        <v>19</v>
      </c>
      <c r="B69" s="44"/>
      <c r="C69" s="44"/>
      <c r="D69" s="44" t="s">
        <v>59</v>
      </c>
      <c r="E69" s="44" t="s">
        <v>43</v>
      </c>
      <c r="F69" s="40">
        <v>44343</v>
      </c>
      <c r="G69" s="75" t="s">
        <v>110</v>
      </c>
      <c r="H69" s="76">
        <v>56000</v>
      </c>
      <c r="I69" s="67">
        <f>IF(X69 = 20, H69 + SUM(S69:S69) - SUM(T69:T69) - SUM(P69:P69) - V69,0)</f>
        <v>0</v>
      </c>
      <c r="J69" s="44"/>
      <c r="K69" s="82" t="s">
        <v>111</v>
      </c>
      <c r="L69" s="44"/>
      <c r="M69" s="44"/>
      <c r="N69" s="83">
        <v>44343</v>
      </c>
      <c r="O69" s="40" t="s">
        <v>107</v>
      </c>
      <c r="P69" s="42">
        <v>56000</v>
      </c>
      <c r="Q69" s="84">
        <v>44346</v>
      </c>
      <c r="R69" s="44"/>
      <c r="S69" s="42"/>
      <c r="T69" s="42"/>
      <c r="U69" s="42"/>
      <c r="V69" s="69"/>
      <c r="W69" s="70"/>
      <c r="X69" s="48">
        <v>20</v>
      </c>
    </row>
    <row r="70" spans="1:24" s="48" customFormat="1" ht="86.25" customHeight="1" x14ac:dyDescent="0.25">
      <c r="A70" s="62">
        <v>20</v>
      </c>
      <c r="B70" s="44"/>
      <c r="C70" s="44"/>
      <c r="D70" s="44" t="s">
        <v>59</v>
      </c>
      <c r="E70" s="44" t="s">
        <v>112</v>
      </c>
      <c r="F70" s="40">
        <v>44348</v>
      </c>
      <c r="G70" s="75" t="s">
        <v>113</v>
      </c>
      <c r="H70" s="76">
        <v>21610</v>
      </c>
      <c r="I70" s="67">
        <f>IF(X70 = 21, H70 + SUM(S70:S70) - SUM(T70:T70) - SUM(P70:P70) - V70,0)</f>
        <v>0</v>
      </c>
      <c r="J70" s="44"/>
      <c r="K70" s="85" t="s">
        <v>114</v>
      </c>
      <c r="L70" s="44"/>
      <c r="M70" s="44"/>
      <c r="N70" s="83">
        <v>44348</v>
      </c>
      <c r="O70" s="40" t="s">
        <v>107</v>
      </c>
      <c r="P70" s="42">
        <v>21610</v>
      </c>
      <c r="Q70" s="84">
        <v>44355</v>
      </c>
      <c r="R70" s="44"/>
      <c r="S70" s="42"/>
      <c r="T70" s="42"/>
      <c r="U70" s="42"/>
      <c r="V70" s="69"/>
      <c r="W70" s="70"/>
      <c r="X70" s="48">
        <v>21</v>
      </c>
    </row>
    <row r="71" spans="1:24" s="48" customFormat="1" ht="118.5" customHeight="1" x14ac:dyDescent="0.25">
      <c r="A71" s="62">
        <v>21</v>
      </c>
      <c r="B71" s="44"/>
      <c r="C71" s="44"/>
      <c r="D71" s="44" t="s">
        <v>59</v>
      </c>
      <c r="E71" s="44">
        <v>15</v>
      </c>
      <c r="F71" s="40">
        <v>44378</v>
      </c>
      <c r="G71" s="75" t="s">
        <v>115</v>
      </c>
      <c r="H71" s="76">
        <v>25200</v>
      </c>
      <c r="I71" s="67">
        <f>IF(X71 = 22, H71 + SUM(S71:S71) - SUM(T71:T71) - SUM(P71:P71) - V71,0)</f>
        <v>0</v>
      </c>
      <c r="J71" s="44"/>
      <c r="K71" s="77" t="s">
        <v>116</v>
      </c>
      <c r="L71" s="44"/>
      <c r="M71" s="44"/>
      <c r="N71" s="40">
        <v>44384</v>
      </c>
      <c r="O71" s="40" t="s">
        <v>107</v>
      </c>
      <c r="P71" s="42">
        <v>25200</v>
      </c>
      <c r="Q71" s="43">
        <v>44386</v>
      </c>
      <c r="R71" s="44"/>
      <c r="S71" s="42"/>
      <c r="T71" s="42"/>
      <c r="U71" s="42"/>
      <c r="V71" s="69"/>
      <c r="W71" s="70"/>
      <c r="X71" s="48">
        <v>22</v>
      </c>
    </row>
    <row r="72" spans="1:24" s="48" customFormat="1" ht="59.25" customHeight="1" x14ac:dyDescent="0.3">
      <c r="A72" s="62">
        <v>22</v>
      </c>
      <c r="B72" s="44"/>
      <c r="C72" s="44"/>
      <c r="D72" s="44" t="s">
        <v>59</v>
      </c>
      <c r="E72" s="86">
        <v>734</v>
      </c>
      <c r="F72" s="87">
        <v>44392</v>
      </c>
      <c r="G72" s="88" t="s">
        <v>117</v>
      </c>
      <c r="H72" s="89">
        <v>3832.55</v>
      </c>
      <c r="I72" s="67">
        <f>IF(X72 = 23, H72 + SUM(S72:S72) - SUM(T72:T72) - SUM(P72:P72) - V72,0)</f>
        <v>0</v>
      </c>
      <c r="J72" s="44"/>
      <c r="K72" s="88" t="s">
        <v>118</v>
      </c>
      <c r="L72" s="44"/>
      <c r="M72" s="44"/>
      <c r="N72" s="40">
        <v>44392</v>
      </c>
      <c r="O72" s="40" t="s">
        <v>107</v>
      </c>
      <c r="P72" s="42">
        <v>3832.55</v>
      </c>
      <c r="Q72" s="43">
        <v>44424</v>
      </c>
      <c r="R72" s="44"/>
      <c r="S72" s="42"/>
      <c r="T72" s="42"/>
      <c r="U72" s="42"/>
      <c r="V72" s="69"/>
      <c r="W72" s="70"/>
      <c r="X72" s="48">
        <v>23</v>
      </c>
    </row>
    <row r="73" spans="1:24" s="48" customFormat="1" ht="81" x14ac:dyDescent="0.3">
      <c r="A73" s="62">
        <v>23</v>
      </c>
      <c r="B73" s="44"/>
      <c r="C73" s="44"/>
      <c r="D73" s="44" t="s">
        <v>59</v>
      </c>
      <c r="E73" s="86" t="s">
        <v>119</v>
      </c>
      <c r="F73" s="87">
        <v>44419</v>
      </c>
      <c r="G73" s="88" t="s">
        <v>120</v>
      </c>
      <c r="H73" s="89">
        <v>8000</v>
      </c>
      <c r="I73" s="67">
        <f>IF(X73 = 24, H73 + SUM(S73:S73) - SUM(T73:T73) - SUM(P73:P73) - V73,0)</f>
        <v>1000</v>
      </c>
      <c r="J73" s="44"/>
      <c r="K73" s="88" t="s">
        <v>121</v>
      </c>
      <c r="L73" s="44"/>
      <c r="M73" s="44"/>
      <c r="N73" s="40">
        <v>44434</v>
      </c>
      <c r="O73" s="40" t="s">
        <v>107</v>
      </c>
      <c r="P73" s="42">
        <v>7000</v>
      </c>
      <c r="Q73" s="43">
        <v>44445</v>
      </c>
      <c r="R73" s="44"/>
      <c r="S73" s="42"/>
      <c r="T73" s="42"/>
      <c r="U73" s="42"/>
      <c r="V73" s="69"/>
      <c r="W73" s="70"/>
      <c r="X73" s="48">
        <v>24</v>
      </c>
    </row>
    <row r="74" spans="1:24" s="48" customFormat="1" ht="104.25" customHeight="1" x14ac:dyDescent="0.3">
      <c r="A74" s="62">
        <v>24</v>
      </c>
      <c r="B74" s="44"/>
      <c r="C74" s="44"/>
      <c r="D74" s="44" t="s">
        <v>59</v>
      </c>
      <c r="E74" s="86" t="s">
        <v>119</v>
      </c>
      <c r="F74" s="40">
        <v>44370</v>
      </c>
      <c r="G74" s="88" t="s">
        <v>122</v>
      </c>
      <c r="H74" s="76">
        <v>8000</v>
      </c>
      <c r="I74" s="67">
        <f>IF(X74 = 25, H74 + SUM(S74:S74) - SUM(T74:T74) - SUM(P74:P74) - V74,0)</f>
        <v>0</v>
      </c>
      <c r="J74" s="44"/>
      <c r="K74" s="88" t="s">
        <v>121</v>
      </c>
      <c r="L74" s="44"/>
      <c r="M74" s="44"/>
      <c r="N74" s="40">
        <v>44403</v>
      </c>
      <c r="O74" s="40" t="s">
        <v>107</v>
      </c>
      <c r="P74" s="42">
        <v>8000</v>
      </c>
      <c r="Q74" s="43">
        <v>44414</v>
      </c>
      <c r="R74" s="44"/>
      <c r="S74" s="42"/>
      <c r="T74" s="42"/>
      <c r="U74" s="42"/>
      <c r="V74" s="69"/>
      <c r="W74" s="70"/>
      <c r="X74" s="48">
        <v>25</v>
      </c>
    </row>
    <row r="75" spans="1:24" s="48" customFormat="1" ht="63" customHeight="1" x14ac:dyDescent="0.4">
      <c r="A75" s="62">
        <v>25</v>
      </c>
      <c r="B75" s="44"/>
      <c r="C75" s="44"/>
      <c r="D75" s="44" t="s">
        <v>59</v>
      </c>
      <c r="E75" s="90">
        <v>20</v>
      </c>
      <c r="F75" s="91">
        <v>44371</v>
      </c>
      <c r="G75" s="92" t="s">
        <v>123</v>
      </c>
      <c r="H75" s="93">
        <v>20000</v>
      </c>
      <c r="I75" s="67">
        <f>IF(X75 = 26, H75 + SUM(S75:S75) - SUM(T75:T75) - SUM(P75:P75) - V75,0)</f>
        <v>0</v>
      </c>
      <c r="J75" s="44"/>
      <c r="K75" s="92" t="s">
        <v>124</v>
      </c>
      <c r="L75" s="44"/>
      <c r="M75" s="44"/>
      <c r="N75" s="91">
        <v>44371</v>
      </c>
      <c r="O75" s="40" t="s">
        <v>107</v>
      </c>
      <c r="P75" s="42">
        <v>20000</v>
      </c>
      <c r="Q75" s="84">
        <v>44378</v>
      </c>
      <c r="R75" s="44"/>
      <c r="S75" s="42"/>
      <c r="T75" s="42"/>
      <c r="U75" s="42"/>
      <c r="V75" s="69"/>
      <c r="W75" s="70"/>
      <c r="X75" s="48">
        <v>26</v>
      </c>
    </row>
    <row r="76" spans="1:24" s="48" customFormat="1" ht="75" customHeight="1" x14ac:dyDescent="0.4">
      <c r="A76" s="62">
        <v>26</v>
      </c>
      <c r="B76" s="44"/>
      <c r="C76" s="44"/>
      <c r="D76" s="44" t="s">
        <v>59</v>
      </c>
      <c r="E76" s="90" t="s">
        <v>125</v>
      </c>
      <c r="F76" s="91">
        <v>44371</v>
      </c>
      <c r="G76" s="92" t="s">
        <v>126</v>
      </c>
      <c r="H76" s="93">
        <v>33645</v>
      </c>
      <c r="I76" s="67">
        <f>IF(X76 = 27, H76 + SUM(S76:S76) - SUM(T76:T76) - SUM(P76:P76) - V76,0)</f>
        <v>0</v>
      </c>
      <c r="J76" s="44"/>
      <c r="K76" s="92" t="s">
        <v>127</v>
      </c>
      <c r="L76" s="44"/>
      <c r="M76" s="44"/>
      <c r="N76" s="91">
        <v>44371</v>
      </c>
      <c r="O76" s="40" t="s">
        <v>107</v>
      </c>
      <c r="P76" s="42">
        <v>33645</v>
      </c>
      <c r="Q76" s="84">
        <v>44378</v>
      </c>
      <c r="R76" s="44"/>
      <c r="S76" s="42"/>
      <c r="T76" s="42"/>
      <c r="U76" s="42"/>
      <c r="V76" s="69"/>
      <c r="W76" s="70"/>
      <c r="X76" s="48">
        <v>27</v>
      </c>
    </row>
    <row r="77" spans="1:24" s="48" customFormat="1" ht="76.5" customHeight="1" x14ac:dyDescent="0.4">
      <c r="A77" s="62">
        <v>27</v>
      </c>
      <c r="B77" s="44"/>
      <c r="C77" s="44"/>
      <c r="D77" s="44" t="s">
        <v>59</v>
      </c>
      <c r="E77" s="90">
        <v>21</v>
      </c>
      <c r="F77" s="91">
        <v>40722</v>
      </c>
      <c r="G77" s="92" t="s">
        <v>128</v>
      </c>
      <c r="H77" s="93">
        <v>25025</v>
      </c>
      <c r="I77" s="67">
        <f>IF(X77 = 28, H77 + SUM(S77:S77) - SUM(T77:T77) - SUM(P77:P77) - V77,0)</f>
        <v>0</v>
      </c>
      <c r="J77" s="44"/>
      <c r="K77" s="92" t="s">
        <v>129</v>
      </c>
      <c r="L77" s="44"/>
      <c r="M77" s="44"/>
      <c r="N77" s="91">
        <v>40722</v>
      </c>
      <c r="O77" s="40" t="s">
        <v>107</v>
      </c>
      <c r="P77" s="42">
        <v>25025</v>
      </c>
      <c r="Q77" s="84">
        <v>44378</v>
      </c>
      <c r="R77" s="44"/>
      <c r="S77" s="42"/>
      <c r="T77" s="42"/>
      <c r="U77" s="42"/>
      <c r="V77" s="69"/>
      <c r="W77" s="70"/>
      <c r="X77" s="48">
        <v>28</v>
      </c>
    </row>
    <row r="78" spans="1:24" s="48" customFormat="1" ht="101.25" x14ac:dyDescent="0.3">
      <c r="A78" s="62">
        <v>28</v>
      </c>
      <c r="B78" s="44"/>
      <c r="C78" s="44"/>
      <c r="D78" s="44" t="s">
        <v>59</v>
      </c>
      <c r="E78" s="94">
        <v>26</v>
      </c>
      <c r="F78" s="40">
        <v>44413</v>
      </c>
      <c r="G78" s="95" t="s">
        <v>130</v>
      </c>
      <c r="H78" s="76">
        <v>10640</v>
      </c>
      <c r="I78" s="67">
        <f>IF(X78 = 29, H78 + SUM(S78:S78) - SUM(T78:T78) - SUM(P78:P78) - V78,0)</f>
        <v>0</v>
      </c>
      <c r="J78" s="44"/>
      <c r="K78" s="88" t="s">
        <v>131</v>
      </c>
      <c r="L78" s="44"/>
      <c r="M78" s="44"/>
      <c r="N78" s="40">
        <v>44419</v>
      </c>
      <c r="O78" s="40" t="s">
        <v>107</v>
      </c>
      <c r="P78" s="42">
        <v>10640</v>
      </c>
      <c r="Q78" s="43">
        <v>44425</v>
      </c>
      <c r="R78" s="44"/>
      <c r="S78" s="42"/>
      <c r="T78" s="42"/>
      <c r="U78" s="42"/>
      <c r="V78" s="69"/>
      <c r="W78" s="70"/>
      <c r="X78" s="48">
        <v>29</v>
      </c>
    </row>
    <row r="79" spans="1:24" s="48" customFormat="1" ht="40.5" x14ac:dyDescent="0.25">
      <c r="A79" s="62">
        <v>29</v>
      </c>
      <c r="B79" s="44"/>
      <c r="C79" s="44"/>
      <c r="D79" s="44" t="s">
        <v>59</v>
      </c>
      <c r="E79" s="94">
        <v>15</v>
      </c>
      <c r="F79" s="40">
        <v>44412</v>
      </c>
      <c r="G79" s="95" t="s">
        <v>132</v>
      </c>
      <c r="H79" s="76">
        <v>2090</v>
      </c>
      <c r="I79" s="67">
        <f>IF(X79 = 30, H79 + SUM(S79:S79) - SUM(T79:T79) - SUM(P79:P79) - V79,0)</f>
        <v>0</v>
      </c>
      <c r="J79" s="44"/>
      <c r="K79" s="82" t="s">
        <v>133</v>
      </c>
      <c r="L79" s="44"/>
      <c r="M79" s="44"/>
      <c r="N79" s="40">
        <v>44419</v>
      </c>
      <c r="O79" s="40" t="s">
        <v>107</v>
      </c>
      <c r="P79" s="42">
        <v>2090</v>
      </c>
      <c r="Q79" s="43">
        <v>44425</v>
      </c>
      <c r="R79" s="44"/>
      <c r="S79" s="42"/>
      <c r="T79" s="42"/>
      <c r="U79" s="42"/>
      <c r="V79" s="69"/>
      <c r="W79" s="70"/>
      <c r="X79" s="48">
        <v>30</v>
      </c>
    </row>
    <row r="80" spans="1:24" s="48" customFormat="1" ht="69.75" x14ac:dyDescent="0.4">
      <c r="A80" s="62">
        <v>30</v>
      </c>
      <c r="B80" s="44"/>
      <c r="C80" s="44"/>
      <c r="D80" s="44" t="s">
        <v>59</v>
      </c>
      <c r="E80" s="90">
        <v>416</v>
      </c>
      <c r="F80" s="96">
        <v>44448</v>
      </c>
      <c r="G80" s="97" t="s">
        <v>134</v>
      </c>
      <c r="H80" s="98">
        <v>50000</v>
      </c>
      <c r="I80" s="99">
        <f>IF(X80 = 31, H80 + SUM(S80:S80) - SUM(T80:T80) - SUM(P80:P80) - V80,0)</f>
        <v>0</v>
      </c>
      <c r="J80" s="100"/>
      <c r="K80" s="97" t="s">
        <v>97</v>
      </c>
      <c r="L80" s="100"/>
      <c r="M80" s="100"/>
      <c r="N80" s="101">
        <v>44453</v>
      </c>
      <c r="O80" s="101" t="s">
        <v>107</v>
      </c>
      <c r="P80" s="98">
        <v>50000</v>
      </c>
      <c r="Q80" s="43">
        <v>44461</v>
      </c>
      <c r="R80" s="44"/>
      <c r="S80" s="42"/>
      <c r="T80" s="42"/>
      <c r="U80" s="42"/>
      <c r="V80" s="69"/>
      <c r="W80" s="70"/>
      <c r="X80" s="48">
        <v>31</v>
      </c>
    </row>
    <row r="81" spans="1:24" s="48" customFormat="1" ht="69.75" x14ac:dyDescent="0.4">
      <c r="A81" s="62">
        <v>31</v>
      </c>
      <c r="B81" s="44"/>
      <c r="C81" s="44"/>
      <c r="D81" s="44" t="s">
        <v>59</v>
      </c>
      <c r="E81" s="90">
        <v>352</v>
      </c>
      <c r="F81" s="96">
        <v>44448</v>
      </c>
      <c r="G81" s="97" t="s">
        <v>135</v>
      </c>
      <c r="H81" s="98">
        <v>20000</v>
      </c>
      <c r="I81" s="99">
        <f>IF(X81 = 32, H81 + SUM(S81:S81) - SUM(T81:T81) - SUM(P81:P81) - V81,0)</f>
        <v>0</v>
      </c>
      <c r="J81" s="100"/>
      <c r="K81" s="97" t="s">
        <v>97</v>
      </c>
      <c r="L81" s="100"/>
      <c r="M81" s="100"/>
      <c r="N81" s="101">
        <v>44448</v>
      </c>
      <c r="O81" s="101" t="s">
        <v>107</v>
      </c>
      <c r="P81" s="98">
        <v>20000</v>
      </c>
      <c r="Q81" s="43">
        <v>44455</v>
      </c>
      <c r="R81" s="44"/>
      <c r="S81" s="42"/>
      <c r="T81" s="42"/>
      <c r="U81" s="42"/>
      <c r="V81" s="69"/>
      <c r="W81" s="70"/>
      <c r="X81" s="48">
        <v>32</v>
      </c>
    </row>
    <row r="82" spans="1:24" s="48" customFormat="1" ht="69.75" x14ac:dyDescent="0.4">
      <c r="A82" s="62">
        <v>32</v>
      </c>
      <c r="B82" s="44"/>
      <c r="C82" s="44"/>
      <c r="D82" s="44" t="s">
        <v>59</v>
      </c>
      <c r="E82" s="90">
        <v>602</v>
      </c>
      <c r="F82" s="96">
        <v>44455</v>
      </c>
      <c r="G82" s="97" t="s">
        <v>136</v>
      </c>
      <c r="H82" s="98">
        <v>93373.99</v>
      </c>
      <c r="I82" s="99">
        <f>IF(X82 = 33, H82 + SUM(S82:S82) - SUM(T82:T82) - SUM(P82:P82) - V82,0)</f>
        <v>300</v>
      </c>
      <c r="J82" s="100"/>
      <c r="K82" s="97" t="s">
        <v>137</v>
      </c>
      <c r="L82" s="100"/>
      <c r="M82" s="100"/>
      <c r="N82" s="101">
        <v>44455</v>
      </c>
      <c r="O82" s="101" t="s">
        <v>107</v>
      </c>
      <c r="P82" s="98">
        <v>93073.99</v>
      </c>
      <c r="Q82" s="43">
        <v>44461</v>
      </c>
      <c r="R82" s="44"/>
      <c r="S82" s="42"/>
      <c r="T82" s="42"/>
      <c r="U82" s="42"/>
      <c r="V82" s="69"/>
      <c r="W82" s="70"/>
      <c r="X82" s="48">
        <v>33</v>
      </c>
    </row>
    <row r="83" spans="1:24" s="48" customFormat="1" ht="69.75" x14ac:dyDescent="0.4">
      <c r="A83" s="62">
        <v>33</v>
      </c>
      <c r="B83" s="44"/>
      <c r="C83" s="44"/>
      <c r="D83" s="44" t="s">
        <v>59</v>
      </c>
      <c r="E83" s="90">
        <v>203</v>
      </c>
      <c r="F83" s="96">
        <v>44456</v>
      </c>
      <c r="G83" s="97" t="s">
        <v>113</v>
      </c>
      <c r="H83" s="98">
        <v>34861</v>
      </c>
      <c r="I83" s="99">
        <f>IF(X83 = 34, H83 + SUM(S83:S83) - SUM(T83:T83) - SUM(P83:P83) - V83,0)</f>
        <v>0</v>
      </c>
      <c r="J83" s="100"/>
      <c r="K83" s="97" t="s">
        <v>73</v>
      </c>
      <c r="L83" s="100"/>
      <c r="M83" s="100"/>
      <c r="N83" s="101">
        <v>44497</v>
      </c>
      <c r="O83" s="101" t="s">
        <v>107</v>
      </c>
      <c r="P83" s="98">
        <v>34861</v>
      </c>
      <c r="Q83" s="43">
        <v>44508</v>
      </c>
      <c r="R83" s="44"/>
      <c r="S83" s="42"/>
      <c r="T83" s="42"/>
      <c r="U83" s="42"/>
      <c r="V83" s="69"/>
      <c r="W83" s="70"/>
      <c r="X83" s="48">
        <v>34</v>
      </c>
    </row>
    <row r="84" spans="1:24" s="48" customFormat="1" ht="69.75" x14ac:dyDescent="0.4">
      <c r="A84" s="62">
        <v>34</v>
      </c>
      <c r="B84" s="44"/>
      <c r="C84" s="44"/>
      <c r="D84" s="44" t="s">
        <v>59</v>
      </c>
      <c r="E84" s="90">
        <v>36</v>
      </c>
      <c r="F84" s="96">
        <v>44467</v>
      </c>
      <c r="G84" s="97" t="s">
        <v>138</v>
      </c>
      <c r="H84" s="98">
        <v>8200</v>
      </c>
      <c r="I84" s="99">
        <f>IF(X84 = 35, H84 + SUM(S84:S84) - SUM(T84:T84) - SUM(P84:P84) - V84,0)</f>
        <v>0</v>
      </c>
      <c r="J84" s="100"/>
      <c r="K84" s="97" t="s">
        <v>139</v>
      </c>
      <c r="L84" s="100"/>
      <c r="M84" s="100"/>
      <c r="N84" s="101">
        <v>44467</v>
      </c>
      <c r="O84" s="101" t="s">
        <v>107</v>
      </c>
      <c r="P84" s="98">
        <v>8200</v>
      </c>
      <c r="Q84" s="43">
        <v>44469</v>
      </c>
      <c r="R84" s="44"/>
      <c r="S84" s="42"/>
      <c r="T84" s="42"/>
      <c r="U84" s="42"/>
      <c r="V84" s="69"/>
      <c r="W84" s="70"/>
      <c r="X84" s="48">
        <v>35</v>
      </c>
    </row>
    <row r="85" spans="1:24" s="48" customFormat="1" ht="69.75" x14ac:dyDescent="0.4">
      <c r="A85" s="62">
        <v>35</v>
      </c>
      <c r="B85" s="44"/>
      <c r="C85" s="44"/>
      <c r="D85" s="44" t="s">
        <v>59</v>
      </c>
      <c r="E85" s="90" t="s">
        <v>140</v>
      </c>
      <c r="F85" s="96">
        <v>44474</v>
      </c>
      <c r="G85" s="97" t="s">
        <v>141</v>
      </c>
      <c r="H85" s="98">
        <v>4000</v>
      </c>
      <c r="I85" s="99">
        <f>IF(X85 = 36, H85 + SUM(S85:S85) - SUM(T85:T85) - SUM(P85:P85) - V85,0)</f>
        <v>0</v>
      </c>
      <c r="J85" s="100"/>
      <c r="K85" s="97" t="s">
        <v>142</v>
      </c>
      <c r="L85" s="100"/>
      <c r="M85" s="100"/>
      <c r="N85" s="101">
        <v>44475</v>
      </c>
      <c r="O85" s="101" t="s">
        <v>107</v>
      </c>
      <c r="P85" s="98">
        <v>4000</v>
      </c>
      <c r="Q85" s="43">
        <v>44481</v>
      </c>
      <c r="R85" s="44"/>
      <c r="S85" s="42"/>
      <c r="T85" s="42"/>
      <c r="U85" s="42"/>
      <c r="V85" s="69"/>
      <c r="W85" s="70"/>
      <c r="X85" s="48">
        <v>36</v>
      </c>
    </row>
    <row r="86" spans="1:24" s="48" customFormat="1" ht="69.75" x14ac:dyDescent="0.4">
      <c r="A86" s="62">
        <v>36</v>
      </c>
      <c r="B86" s="44"/>
      <c r="C86" s="44"/>
      <c r="D86" s="44" t="s">
        <v>59</v>
      </c>
      <c r="E86" s="90">
        <v>54</v>
      </c>
      <c r="F86" s="96">
        <v>44488</v>
      </c>
      <c r="G86" s="97" t="s">
        <v>143</v>
      </c>
      <c r="H86" s="98">
        <v>19000</v>
      </c>
      <c r="I86" s="99">
        <f>IF(X86 = 37, H86 + SUM(S86:S86) - SUM(T86:T86) - SUM(P86:P86) - V86,0)</f>
        <v>0</v>
      </c>
      <c r="J86" s="100"/>
      <c r="K86" s="97" t="s">
        <v>144</v>
      </c>
      <c r="L86" s="100"/>
      <c r="M86" s="100"/>
      <c r="N86" s="101">
        <v>44488</v>
      </c>
      <c r="O86" s="101" t="s">
        <v>107</v>
      </c>
      <c r="P86" s="98">
        <v>19000</v>
      </c>
      <c r="Q86" s="43">
        <v>44512</v>
      </c>
      <c r="R86" s="44"/>
      <c r="S86" s="42"/>
      <c r="T86" s="42"/>
      <c r="U86" s="42"/>
      <c r="V86" s="69"/>
      <c r="W86" s="70"/>
      <c r="X86" s="48">
        <v>37</v>
      </c>
    </row>
    <row r="87" spans="1:24" s="48" customFormat="1" ht="69.75" x14ac:dyDescent="0.4">
      <c r="A87" s="62">
        <v>37</v>
      </c>
      <c r="B87" s="44"/>
      <c r="C87" s="44"/>
      <c r="D87" s="44" t="s">
        <v>59</v>
      </c>
      <c r="E87" s="90">
        <v>39</v>
      </c>
      <c r="F87" s="96">
        <v>44497</v>
      </c>
      <c r="G87" s="97" t="s">
        <v>84</v>
      </c>
      <c r="H87" s="98">
        <v>12960</v>
      </c>
      <c r="I87" s="99">
        <f>IF(X87 = 38, H87 + SUM(S87:S87) - SUM(T87:T87) - SUM(P87:P87) - V87,0)</f>
        <v>0</v>
      </c>
      <c r="J87" s="100"/>
      <c r="K87" s="102" t="s">
        <v>85</v>
      </c>
      <c r="L87" s="100"/>
      <c r="M87" s="100"/>
      <c r="N87" s="101"/>
      <c r="O87" s="101" t="s">
        <v>107</v>
      </c>
      <c r="P87" s="98">
        <v>12960</v>
      </c>
      <c r="Q87" s="43"/>
      <c r="R87" s="44"/>
      <c r="S87" s="42"/>
      <c r="T87" s="42"/>
      <c r="U87" s="42"/>
      <c r="V87" s="69"/>
      <c r="W87" s="70"/>
      <c r="X87" s="48">
        <v>38</v>
      </c>
    </row>
    <row r="88" spans="1:24" s="48" customFormat="1" ht="44.25" customHeight="1" x14ac:dyDescent="0.25">
      <c r="A88" s="33">
        <v>38</v>
      </c>
      <c r="B88" s="34"/>
      <c r="C88" s="34"/>
      <c r="D88" s="34" t="s">
        <v>59</v>
      </c>
      <c r="E88" s="78">
        <v>52</v>
      </c>
      <c r="F88" s="79">
        <v>44190</v>
      </c>
      <c r="G88" s="103" t="s">
        <v>145</v>
      </c>
      <c r="H88" s="104"/>
      <c r="I88" s="39">
        <f>IF(X88 = 39, H88 + SUM(S88:S89) - SUM(T88:T89) - SUM(P88:P89) - V88,0)</f>
        <v>0</v>
      </c>
      <c r="J88" s="34" t="s">
        <v>146</v>
      </c>
      <c r="K88" s="103"/>
      <c r="L88" s="34"/>
      <c r="M88" s="34"/>
      <c r="N88" s="40"/>
      <c r="O88" s="79" t="s">
        <v>147</v>
      </c>
      <c r="P88" s="42"/>
      <c r="Q88" s="43"/>
      <c r="R88" s="44"/>
      <c r="S88" s="42"/>
      <c r="T88" s="42"/>
      <c r="U88" s="45"/>
      <c r="V88" s="46"/>
      <c r="W88" s="47"/>
      <c r="X88" s="48">
        <v>39</v>
      </c>
    </row>
    <row r="89" spans="1:24" s="53" customFormat="1" ht="45.75" customHeight="1" x14ac:dyDescent="0.25">
      <c r="A89" s="33"/>
      <c r="B89" s="34"/>
      <c r="C89" s="34"/>
      <c r="D89" s="34"/>
      <c r="E89" s="78"/>
      <c r="F89" s="79"/>
      <c r="G89" s="103"/>
      <c r="H89" s="104"/>
      <c r="I89" s="39"/>
      <c r="J89" s="34"/>
      <c r="K89" s="103"/>
      <c r="L89" s="34"/>
      <c r="M89" s="34"/>
      <c r="N89" s="49"/>
      <c r="O89" s="79"/>
      <c r="P89" s="50"/>
      <c r="Q89" s="51"/>
      <c r="R89" s="52"/>
      <c r="S89" s="50"/>
      <c r="T89" s="50"/>
      <c r="U89" s="45"/>
      <c r="V89" s="46"/>
      <c r="W89" s="47"/>
      <c r="X89" s="53">
        <v>39</v>
      </c>
    </row>
    <row r="90" spans="1:24" s="48" customFormat="1" ht="40.5" customHeight="1" x14ac:dyDescent="0.25">
      <c r="A90" s="33">
        <v>39</v>
      </c>
      <c r="B90" s="34"/>
      <c r="C90" s="34"/>
      <c r="D90" s="34" t="s">
        <v>59</v>
      </c>
      <c r="E90" s="78" t="s">
        <v>148</v>
      </c>
      <c r="F90" s="79">
        <v>44189</v>
      </c>
      <c r="G90" s="103"/>
      <c r="H90" s="104"/>
      <c r="I90" s="39">
        <f>IF(X90 = 40, H90 + SUM(S90:S91) - SUM(T90:T91) - SUM(P90:P91) - V90,0)</f>
        <v>0</v>
      </c>
      <c r="J90" s="34"/>
      <c r="K90" s="103" t="s">
        <v>149</v>
      </c>
      <c r="L90" s="34"/>
      <c r="M90" s="34"/>
      <c r="N90" s="40"/>
      <c r="O90" s="79" t="s">
        <v>150</v>
      </c>
      <c r="P90" s="42"/>
      <c r="Q90" s="43"/>
      <c r="R90" s="44"/>
      <c r="S90" s="42"/>
      <c r="T90" s="42"/>
      <c r="U90" s="45"/>
      <c r="V90" s="46"/>
      <c r="W90" s="47"/>
      <c r="X90" s="48">
        <v>40</v>
      </c>
    </row>
    <row r="91" spans="1:24" s="53" customFormat="1" ht="36.75" customHeight="1" x14ac:dyDescent="0.25">
      <c r="A91" s="33"/>
      <c r="B91" s="34"/>
      <c r="C91" s="34"/>
      <c r="D91" s="34"/>
      <c r="E91" s="78"/>
      <c r="F91" s="79"/>
      <c r="G91" s="103"/>
      <c r="H91" s="104"/>
      <c r="I91" s="39"/>
      <c r="J91" s="34"/>
      <c r="K91" s="103"/>
      <c r="L91" s="34"/>
      <c r="M91" s="34"/>
      <c r="N91" s="49"/>
      <c r="O91" s="79"/>
      <c r="P91" s="50"/>
      <c r="Q91" s="51"/>
      <c r="R91" s="52"/>
      <c r="S91" s="50"/>
      <c r="T91" s="50"/>
      <c r="U91" s="45"/>
      <c r="V91" s="46"/>
      <c r="W91" s="47"/>
      <c r="X91" s="53">
        <v>40</v>
      </c>
    </row>
    <row r="92" spans="1:24" s="48" customFormat="1" ht="72" customHeight="1" x14ac:dyDescent="0.25">
      <c r="A92" s="62">
        <v>40</v>
      </c>
      <c r="B92" s="44"/>
      <c r="C92" s="44"/>
      <c r="D92" s="44" t="s">
        <v>59</v>
      </c>
      <c r="E92" s="105">
        <v>350</v>
      </c>
      <c r="F92" s="40">
        <v>44396</v>
      </c>
      <c r="G92" s="95" t="s">
        <v>151</v>
      </c>
      <c r="H92" s="106">
        <v>60000</v>
      </c>
      <c r="I92" s="67">
        <f>IF(X92 = 41, H92 + SUM(S92:S92) - SUM(T92:T92) - SUM(P92:P92) - V92,0)</f>
        <v>0</v>
      </c>
      <c r="J92" s="44" t="s">
        <v>152</v>
      </c>
      <c r="K92" s="95" t="s">
        <v>97</v>
      </c>
      <c r="L92" s="44"/>
      <c r="M92" s="44"/>
      <c r="N92" s="40">
        <v>44442</v>
      </c>
      <c r="O92" s="101" t="s">
        <v>107</v>
      </c>
      <c r="P92" s="42">
        <v>60000</v>
      </c>
      <c r="Q92" s="43">
        <v>44459</v>
      </c>
      <c r="R92" s="44"/>
      <c r="S92" s="42"/>
      <c r="T92" s="42"/>
      <c r="U92" s="42"/>
      <c r="V92" s="69"/>
      <c r="W92" s="70"/>
      <c r="X92" s="48">
        <v>41</v>
      </c>
    </row>
    <row r="93" spans="1:24" s="48" customFormat="1" ht="51.75" customHeight="1" x14ac:dyDescent="0.4">
      <c r="A93" s="62">
        <v>41</v>
      </c>
      <c r="B93" s="44"/>
      <c r="C93" s="44"/>
      <c r="D93" s="44" t="s">
        <v>59</v>
      </c>
      <c r="E93" s="107" t="s">
        <v>153</v>
      </c>
      <c r="F93" s="91">
        <v>44496</v>
      </c>
      <c r="G93" s="95" t="s">
        <v>154</v>
      </c>
      <c r="H93" s="106">
        <v>28250</v>
      </c>
      <c r="I93" s="67">
        <f>IF(X93 = 42, H93 + SUM(S93:S93) - SUM(T93:T93) - SUM(P93:P93) - V93,0)</f>
        <v>100</v>
      </c>
      <c r="J93" s="44"/>
      <c r="K93" s="95" t="s">
        <v>155</v>
      </c>
      <c r="L93" s="44"/>
      <c r="M93" s="44"/>
      <c r="N93" s="40">
        <v>44537</v>
      </c>
      <c r="O93" s="101" t="s">
        <v>107</v>
      </c>
      <c r="P93" s="42">
        <v>28150</v>
      </c>
      <c r="Q93" s="43">
        <v>44553</v>
      </c>
      <c r="R93" s="44"/>
      <c r="S93" s="42"/>
      <c r="T93" s="42"/>
      <c r="U93" s="42"/>
      <c r="V93" s="69"/>
      <c r="W93" s="70"/>
      <c r="X93" s="48">
        <v>42</v>
      </c>
    </row>
    <row r="94" spans="1:24" s="48" customFormat="1" ht="78.75" customHeight="1" x14ac:dyDescent="0.25">
      <c r="A94" s="33">
        <v>42</v>
      </c>
      <c r="B94" s="34"/>
      <c r="C94" s="34"/>
      <c r="D94" s="34" t="s">
        <v>59</v>
      </c>
      <c r="E94" s="108">
        <v>43</v>
      </c>
      <c r="F94" s="109">
        <v>44501</v>
      </c>
      <c r="G94" s="110" t="s">
        <v>156</v>
      </c>
      <c r="H94" s="111">
        <v>269800</v>
      </c>
      <c r="I94" s="39">
        <f>IF(X94 = 43, H94 + SUM(S94:S99) - SUM(T94:T99) - SUM(P94:P99) - V94,0)</f>
        <v>0</v>
      </c>
      <c r="J94" s="34"/>
      <c r="K94" s="110" t="s">
        <v>157</v>
      </c>
      <c r="L94" s="34"/>
      <c r="M94" s="34"/>
      <c r="N94" s="40">
        <v>44501</v>
      </c>
      <c r="O94" s="112" t="s">
        <v>107</v>
      </c>
      <c r="P94" s="42">
        <v>38646</v>
      </c>
      <c r="Q94" s="43">
        <v>44531</v>
      </c>
      <c r="R94" s="44"/>
      <c r="S94" s="42"/>
      <c r="T94" s="42"/>
      <c r="U94" s="45"/>
      <c r="V94" s="46"/>
      <c r="W94" s="47"/>
      <c r="X94" s="48">
        <v>43</v>
      </c>
    </row>
    <row r="95" spans="1:24" s="53" customFormat="1" x14ac:dyDescent="0.25">
      <c r="A95" s="33"/>
      <c r="B95" s="34"/>
      <c r="C95" s="34"/>
      <c r="D95" s="34"/>
      <c r="E95" s="108"/>
      <c r="F95" s="109"/>
      <c r="G95" s="110"/>
      <c r="H95" s="111"/>
      <c r="I95" s="39"/>
      <c r="J95" s="34"/>
      <c r="K95" s="110"/>
      <c r="L95" s="34"/>
      <c r="M95" s="34"/>
      <c r="N95" s="49">
        <v>44526</v>
      </c>
      <c r="O95" s="112"/>
      <c r="P95" s="50">
        <v>76209</v>
      </c>
      <c r="Q95" s="51">
        <v>44543</v>
      </c>
      <c r="R95" s="52"/>
      <c r="S95" s="50"/>
      <c r="T95" s="50"/>
      <c r="U95" s="45"/>
      <c r="V95" s="46"/>
      <c r="W95" s="47"/>
      <c r="X95" s="53">
        <v>43</v>
      </c>
    </row>
    <row r="96" spans="1:24" s="53" customFormat="1" x14ac:dyDescent="0.25">
      <c r="A96" s="33"/>
      <c r="B96" s="34"/>
      <c r="C96" s="34"/>
      <c r="D96" s="34"/>
      <c r="E96" s="108"/>
      <c r="F96" s="109"/>
      <c r="G96" s="110"/>
      <c r="H96" s="111"/>
      <c r="I96" s="39"/>
      <c r="J96" s="34"/>
      <c r="K96" s="110"/>
      <c r="L96" s="34"/>
      <c r="M96" s="34"/>
      <c r="N96" s="49">
        <v>44530</v>
      </c>
      <c r="O96" s="112"/>
      <c r="P96" s="50">
        <v>14516</v>
      </c>
      <c r="Q96" s="51">
        <v>44543</v>
      </c>
      <c r="R96" s="52"/>
      <c r="S96" s="50"/>
      <c r="T96" s="50"/>
      <c r="U96" s="45"/>
      <c r="V96" s="46"/>
      <c r="W96" s="47"/>
      <c r="X96" s="53">
        <v>43</v>
      </c>
    </row>
    <row r="97" spans="1:24" s="53" customFormat="1" x14ac:dyDescent="0.25">
      <c r="A97" s="33"/>
      <c r="B97" s="34"/>
      <c r="C97" s="34"/>
      <c r="D97" s="34"/>
      <c r="E97" s="108"/>
      <c r="F97" s="109"/>
      <c r="G97" s="110"/>
      <c r="H97" s="111"/>
      <c r="I97" s="39"/>
      <c r="J97" s="34"/>
      <c r="K97" s="110"/>
      <c r="L97" s="34"/>
      <c r="M97" s="34"/>
      <c r="N97" s="49">
        <v>44540</v>
      </c>
      <c r="O97" s="112"/>
      <c r="P97" s="50">
        <v>55347</v>
      </c>
      <c r="Q97" s="51">
        <v>44559</v>
      </c>
      <c r="R97" s="52"/>
      <c r="S97" s="50"/>
      <c r="T97" s="50"/>
      <c r="U97" s="45"/>
      <c r="V97" s="46"/>
      <c r="W97" s="47"/>
      <c r="X97" s="53">
        <v>43</v>
      </c>
    </row>
    <row r="98" spans="1:24" s="53" customFormat="1" x14ac:dyDescent="0.25">
      <c r="A98" s="33"/>
      <c r="B98" s="34"/>
      <c r="C98" s="34"/>
      <c r="D98" s="34"/>
      <c r="E98" s="108"/>
      <c r="F98" s="109"/>
      <c r="G98" s="110"/>
      <c r="H98" s="111"/>
      <c r="I98" s="39"/>
      <c r="J98" s="34"/>
      <c r="K98" s="110"/>
      <c r="L98" s="34"/>
      <c r="M98" s="34"/>
      <c r="N98" s="49">
        <v>44554</v>
      </c>
      <c r="O98" s="112"/>
      <c r="P98" s="50">
        <v>71022</v>
      </c>
      <c r="Q98" s="51">
        <v>44559</v>
      </c>
      <c r="R98" s="52"/>
      <c r="S98" s="50"/>
      <c r="T98" s="50"/>
      <c r="U98" s="45"/>
      <c r="V98" s="46"/>
      <c r="W98" s="47"/>
      <c r="X98" s="53">
        <v>43</v>
      </c>
    </row>
    <row r="99" spans="1:24" s="53" customFormat="1" x14ac:dyDescent="0.25">
      <c r="A99" s="33"/>
      <c r="B99" s="34"/>
      <c r="C99" s="34"/>
      <c r="D99" s="34"/>
      <c r="E99" s="108"/>
      <c r="F99" s="109"/>
      <c r="G99" s="110"/>
      <c r="H99" s="111"/>
      <c r="I99" s="39"/>
      <c r="J99" s="34"/>
      <c r="K99" s="110"/>
      <c r="L99" s="34"/>
      <c r="M99" s="34"/>
      <c r="N99" s="49">
        <v>44558</v>
      </c>
      <c r="O99" s="112"/>
      <c r="P99" s="50">
        <v>14060</v>
      </c>
      <c r="Q99" s="51">
        <v>44559</v>
      </c>
      <c r="R99" s="52"/>
      <c r="S99" s="50"/>
      <c r="T99" s="50"/>
      <c r="U99" s="45"/>
      <c r="V99" s="46"/>
      <c r="W99" s="47"/>
      <c r="X99" s="53">
        <v>43</v>
      </c>
    </row>
    <row r="100" spans="1:24" s="48" customFormat="1" ht="69.75" customHeight="1" x14ac:dyDescent="0.25">
      <c r="A100" s="33">
        <v>43</v>
      </c>
      <c r="B100" s="34"/>
      <c r="C100" s="34"/>
      <c r="D100" s="34" t="s">
        <v>59</v>
      </c>
      <c r="E100" s="113">
        <v>44</v>
      </c>
      <c r="F100" s="109">
        <v>44501</v>
      </c>
      <c r="G100" s="110" t="s">
        <v>156</v>
      </c>
      <c r="H100" s="111">
        <v>449961.46</v>
      </c>
      <c r="I100" s="39">
        <f>IF(X100 = 44, H100 + SUM(S100:S105) - SUM(T100:T105) - SUM(P100:P105) - V100,0)</f>
        <v>7.6397554948925972E-11</v>
      </c>
      <c r="J100" s="34"/>
      <c r="K100" s="110" t="s">
        <v>158</v>
      </c>
      <c r="L100" s="34"/>
      <c r="M100" s="34"/>
      <c r="N100" s="40">
        <v>44512</v>
      </c>
      <c r="O100" s="112" t="s">
        <v>107</v>
      </c>
      <c r="P100" s="42">
        <v>7647.18</v>
      </c>
      <c r="Q100" s="43">
        <v>44531</v>
      </c>
      <c r="R100" s="44"/>
      <c r="S100" s="42"/>
      <c r="T100" s="42"/>
      <c r="U100" s="45" t="s">
        <v>159</v>
      </c>
      <c r="V100" s="114">
        <v>23309.52</v>
      </c>
      <c r="W100" s="47"/>
      <c r="X100" s="48">
        <v>44</v>
      </c>
    </row>
    <row r="101" spans="1:24" s="53" customFormat="1" x14ac:dyDescent="0.25">
      <c r="A101" s="33"/>
      <c r="B101" s="34"/>
      <c r="C101" s="34"/>
      <c r="D101" s="34"/>
      <c r="E101" s="113"/>
      <c r="F101" s="109"/>
      <c r="G101" s="110"/>
      <c r="H101" s="111"/>
      <c r="I101" s="39"/>
      <c r="J101" s="34"/>
      <c r="K101" s="110"/>
      <c r="L101" s="34"/>
      <c r="M101" s="34"/>
      <c r="N101" s="49">
        <v>44512</v>
      </c>
      <c r="O101" s="112"/>
      <c r="P101" s="50">
        <v>119803.26</v>
      </c>
      <c r="Q101" s="51">
        <v>44531</v>
      </c>
      <c r="R101" s="52"/>
      <c r="S101" s="50"/>
      <c r="T101" s="50"/>
      <c r="U101" s="45"/>
      <c r="V101" s="114"/>
      <c r="W101" s="47"/>
      <c r="X101" s="53">
        <v>44</v>
      </c>
    </row>
    <row r="102" spans="1:24" s="53" customFormat="1" x14ac:dyDescent="0.25">
      <c r="A102" s="33"/>
      <c r="B102" s="34"/>
      <c r="C102" s="34"/>
      <c r="D102" s="34"/>
      <c r="E102" s="113"/>
      <c r="F102" s="109"/>
      <c r="G102" s="110"/>
      <c r="H102" s="111"/>
      <c r="I102" s="39"/>
      <c r="J102" s="34"/>
      <c r="K102" s="110"/>
      <c r="L102" s="34"/>
      <c r="M102" s="34"/>
      <c r="N102" s="49">
        <v>44526</v>
      </c>
      <c r="O102" s="112"/>
      <c r="P102" s="50">
        <v>15080.05</v>
      </c>
      <c r="Q102" s="51">
        <v>44536</v>
      </c>
      <c r="R102" s="52"/>
      <c r="S102" s="50"/>
      <c r="T102" s="50"/>
      <c r="U102" s="45"/>
      <c r="V102" s="114"/>
      <c r="W102" s="47"/>
      <c r="X102" s="53">
        <v>44</v>
      </c>
    </row>
    <row r="103" spans="1:24" s="53" customFormat="1" x14ac:dyDescent="0.25">
      <c r="A103" s="33"/>
      <c r="B103" s="34"/>
      <c r="C103" s="34"/>
      <c r="D103" s="34"/>
      <c r="E103" s="113"/>
      <c r="F103" s="109"/>
      <c r="G103" s="110"/>
      <c r="H103" s="111"/>
      <c r="I103" s="39"/>
      <c r="J103" s="34"/>
      <c r="K103" s="110"/>
      <c r="L103" s="34"/>
      <c r="M103" s="34"/>
      <c r="N103" s="49">
        <v>44536</v>
      </c>
      <c r="O103" s="112"/>
      <c r="P103" s="50">
        <v>236249.21</v>
      </c>
      <c r="Q103" s="51">
        <v>44526</v>
      </c>
      <c r="R103" s="52"/>
      <c r="S103" s="50"/>
      <c r="T103" s="50"/>
      <c r="U103" s="45"/>
      <c r="V103" s="114"/>
      <c r="W103" s="47"/>
      <c r="X103" s="53">
        <v>44</v>
      </c>
    </row>
    <row r="104" spans="1:24" s="53" customFormat="1" x14ac:dyDescent="0.25">
      <c r="A104" s="33"/>
      <c r="B104" s="34"/>
      <c r="C104" s="34"/>
      <c r="D104" s="34"/>
      <c r="E104" s="113"/>
      <c r="F104" s="109"/>
      <c r="G104" s="110"/>
      <c r="H104" s="111"/>
      <c r="I104" s="39"/>
      <c r="J104" s="34"/>
      <c r="K104" s="110"/>
      <c r="L104" s="34"/>
      <c r="M104" s="34"/>
      <c r="N104" s="49">
        <v>44539</v>
      </c>
      <c r="O104" s="112"/>
      <c r="P104" s="50">
        <v>44999.85</v>
      </c>
      <c r="Q104" s="51">
        <v>44530</v>
      </c>
      <c r="R104" s="52"/>
      <c r="S104" s="50"/>
      <c r="T104" s="50"/>
      <c r="U104" s="45"/>
      <c r="V104" s="114"/>
      <c r="W104" s="47"/>
      <c r="X104" s="53">
        <v>44</v>
      </c>
    </row>
    <row r="105" spans="1:24" s="53" customFormat="1" x14ac:dyDescent="0.25">
      <c r="A105" s="33"/>
      <c r="B105" s="34"/>
      <c r="C105" s="34"/>
      <c r="D105" s="34"/>
      <c r="E105" s="113"/>
      <c r="F105" s="109"/>
      <c r="G105" s="110"/>
      <c r="H105" s="111"/>
      <c r="I105" s="39"/>
      <c r="J105" s="34"/>
      <c r="K105" s="110"/>
      <c r="L105" s="34"/>
      <c r="M105" s="34"/>
      <c r="N105" s="49">
        <v>44530</v>
      </c>
      <c r="O105" s="112"/>
      <c r="P105" s="50">
        <v>2872.39</v>
      </c>
      <c r="Q105" s="51">
        <v>44539</v>
      </c>
      <c r="R105" s="52"/>
      <c r="S105" s="50"/>
      <c r="T105" s="50"/>
      <c r="U105" s="45"/>
      <c r="V105" s="114"/>
      <c r="W105" s="47"/>
      <c r="X105" s="53">
        <v>44</v>
      </c>
    </row>
    <row r="106" spans="1:24" s="48" customFormat="1" ht="69.75" customHeight="1" x14ac:dyDescent="0.25">
      <c r="A106" s="33">
        <v>44</v>
      </c>
      <c r="B106" s="34"/>
      <c r="C106" s="34"/>
      <c r="D106" s="34" t="s">
        <v>59</v>
      </c>
      <c r="E106" s="115">
        <v>42</v>
      </c>
      <c r="F106" s="109">
        <v>44501</v>
      </c>
      <c r="G106" s="110" t="s">
        <v>156</v>
      </c>
      <c r="H106" s="111">
        <v>39680</v>
      </c>
      <c r="I106" s="39">
        <f>IF(X106 = 45, H106 + SUM(S106:S107) - SUM(T106:T107) - SUM(P106:P107) - V106,0)</f>
        <v>0</v>
      </c>
      <c r="J106" s="34"/>
      <c r="K106" s="110" t="s">
        <v>160</v>
      </c>
      <c r="L106" s="34"/>
      <c r="M106" s="34"/>
      <c r="N106" s="40">
        <v>44530</v>
      </c>
      <c r="O106" s="112" t="s">
        <v>107</v>
      </c>
      <c r="P106" s="42">
        <v>14296</v>
      </c>
      <c r="Q106" s="43">
        <v>44550</v>
      </c>
      <c r="R106" s="44"/>
      <c r="S106" s="42"/>
      <c r="T106" s="42"/>
      <c r="U106" s="34" t="s">
        <v>161</v>
      </c>
      <c r="V106" s="116">
        <v>9544</v>
      </c>
      <c r="W106" s="47"/>
      <c r="X106" s="48">
        <v>45</v>
      </c>
    </row>
    <row r="107" spans="1:24" s="53" customFormat="1" x14ac:dyDescent="0.25">
      <c r="A107" s="33"/>
      <c r="B107" s="34"/>
      <c r="C107" s="34"/>
      <c r="D107" s="34"/>
      <c r="E107" s="115"/>
      <c r="F107" s="109"/>
      <c r="G107" s="110"/>
      <c r="H107" s="111"/>
      <c r="I107" s="39"/>
      <c r="J107" s="34"/>
      <c r="K107" s="110"/>
      <c r="L107" s="34"/>
      <c r="M107" s="34"/>
      <c r="N107" s="49">
        <v>44559</v>
      </c>
      <c r="O107" s="112"/>
      <c r="P107" s="50">
        <v>15840</v>
      </c>
      <c r="Q107" s="51">
        <v>44559</v>
      </c>
      <c r="R107" s="52"/>
      <c r="S107" s="50"/>
      <c r="T107" s="50"/>
      <c r="U107" s="34"/>
      <c r="V107" s="116"/>
      <c r="W107" s="47"/>
      <c r="X107" s="53">
        <v>45</v>
      </c>
    </row>
    <row r="108" spans="1:24" s="48" customFormat="1" ht="69.75" x14ac:dyDescent="0.4">
      <c r="A108" s="62">
        <v>45</v>
      </c>
      <c r="B108" s="44"/>
      <c r="C108" s="44"/>
      <c r="D108" s="44" t="s">
        <v>59</v>
      </c>
      <c r="E108" s="117">
        <v>18.04830917874396</v>
      </c>
      <c r="F108" s="91">
        <v>44515</v>
      </c>
      <c r="G108" s="92" t="s">
        <v>162</v>
      </c>
      <c r="H108" s="118">
        <v>10473.09</v>
      </c>
      <c r="I108" s="67">
        <f>IF(X108 = 46, H108 + SUM(S108:S108) - SUM(T108:T108) - SUM(P108:P108) - V108,0)</f>
        <v>0</v>
      </c>
      <c r="J108" s="44"/>
      <c r="K108" s="119" t="s">
        <v>163</v>
      </c>
      <c r="L108" s="44"/>
      <c r="M108" s="44"/>
      <c r="N108" s="40">
        <v>44515</v>
      </c>
      <c r="O108" s="101" t="s">
        <v>107</v>
      </c>
      <c r="P108" s="42">
        <v>10473.09</v>
      </c>
      <c r="Q108" s="43">
        <v>44525</v>
      </c>
      <c r="R108" s="44"/>
      <c r="S108" s="42"/>
      <c r="T108" s="42"/>
      <c r="U108" s="42"/>
      <c r="V108" s="69"/>
      <c r="W108" s="70"/>
      <c r="X108" s="48">
        <v>46</v>
      </c>
    </row>
    <row r="109" spans="1:24" s="48" customFormat="1" ht="78.75" x14ac:dyDescent="0.4">
      <c r="A109" s="62">
        <v>46</v>
      </c>
      <c r="B109" s="44"/>
      <c r="C109" s="44"/>
      <c r="D109" s="44" t="s">
        <v>59</v>
      </c>
      <c r="E109" s="90" t="s">
        <v>164</v>
      </c>
      <c r="F109" s="91">
        <v>44522</v>
      </c>
      <c r="G109" s="92" t="s">
        <v>165</v>
      </c>
      <c r="H109" s="120">
        <v>30475</v>
      </c>
      <c r="I109" s="67">
        <f>IF(X109 = 47, H109 + SUM(S109:S109) - SUM(T109:T109) - SUM(P109:P109) - V109,0)</f>
        <v>0</v>
      </c>
      <c r="J109" s="44"/>
      <c r="K109" s="92" t="s">
        <v>166</v>
      </c>
      <c r="L109" s="44"/>
      <c r="M109" s="44"/>
      <c r="N109" s="40">
        <v>44538</v>
      </c>
      <c r="O109" s="101" t="s">
        <v>107</v>
      </c>
      <c r="P109" s="42">
        <v>30475</v>
      </c>
      <c r="Q109" s="43">
        <v>44544</v>
      </c>
      <c r="R109" s="44"/>
      <c r="S109" s="42"/>
      <c r="T109" s="42"/>
      <c r="U109" s="42"/>
      <c r="V109" s="69"/>
      <c r="W109" s="70"/>
      <c r="X109" s="48">
        <v>47</v>
      </c>
    </row>
    <row r="110" spans="1:24" s="48" customFormat="1" ht="69.75" x14ac:dyDescent="0.4">
      <c r="A110" s="62">
        <v>47</v>
      </c>
      <c r="B110" s="44"/>
      <c r="C110" s="44"/>
      <c r="D110" s="44" t="s">
        <v>59</v>
      </c>
      <c r="E110" s="90" t="s">
        <v>167</v>
      </c>
      <c r="F110" s="91">
        <v>44523</v>
      </c>
      <c r="G110" s="92" t="s">
        <v>168</v>
      </c>
      <c r="H110" s="120">
        <v>64400</v>
      </c>
      <c r="I110" s="67">
        <f>IF(X110 = 48, H110 + SUM(S110:S110) - SUM(T110:T110) - SUM(P110:P110) - V110,0)</f>
        <v>0</v>
      </c>
      <c r="J110" s="44"/>
      <c r="K110" s="92" t="s">
        <v>169</v>
      </c>
      <c r="L110" s="44"/>
      <c r="M110" s="44"/>
      <c r="N110" s="40">
        <v>44536</v>
      </c>
      <c r="O110" s="101" t="s">
        <v>107</v>
      </c>
      <c r="P110" s="42">
        <v>64400</v>
      </c>
      <c r="Q110" s="43">
        <v>44544</v>
      </c>
      <c r="R110" s="44"/>
      <c r="S110" s="42"/>
      <c r="T110" s="42"/>
      <c r="U110" s="42"/>
      <c r="V110" s="69"/>
      <c r="W110" s="70"/>
      <c r="X110" s="48">
        <v>48</v>
      </c>
    </row>
    <row r="111" spans="1:24" s="48" customFormat="1" ht="69.75" x14ac:dyDescent="0.4">
      <c r="A111" s="62">
        <v>48</v>
      </c>
      <c r="B111" s="44"/>
      <c r="C111" s="44"/>
      <c r="D111" s="44" t="s">
        <v>59</v>
      </c>
      <c r="E111" s="90">
        <v>45</v>
      </c>
      <c r="F111" s="91">
        <v>44533</v>
      </c>
      <c r="G111" s="92" t="s">
        <v>170</v>
      </c>
      <c r="H111" s="120">
        <v>43520</v>
      </c>
      <c r="I111" s="67">
        <f>IF(X111 = 49, H111 + SUM(S111:S111) - SUM(T111:T111) - SUM(P111:P111) - V111,0)</f>
        <v>0</v>
      </c>
      <c r="J111" s="44"/>
      <c r="K111" s="92" t="s">
        <v>171</v>
      </c>
      <c r="L111" s="44"/>
      <c r="M111" s="44"/>
      <c r="N111" s="40">
        <v>44533</v>
      </c>
      <c r="O111" s="101" t="s">
        <v>107</v>
      </c>
      <c r="P111" s="42">
        <v>43520</v>
      </c>
      <c r="Q111" s="43">
        <v>44539</v>
      </c>
      <c r="R111" s="44"/>
      <c r="S111" s="42"/>
      <c r="T111" s="42"/>
      <c r="U111" s="42"/>
      <c r="V111" s="69"/>
      <c r="W111" s="70"/>
      <c r="X111" s="48">
        <v>49</v>
      </c>
    </row>
    <row r="112" spans="1:24" s="48" customFormat="1" ht="69.75" x14ac:dyDescent="0.4">
      <c r="A112" s="62">
        <v>49</v>
      </c>
      <c r="B112" s="44"/>
      <c r="C112" s="44"/>
      <c r="D112" s="44" t="s">
        <v>59</v>
      </c>
      <c r="E112" s="90">
        <v>41</v>
      </c>
      <c r="F112" s="91">
        <v>44533</v>
      </c>
      <c r="G112" s="92" t="s">
        <v>139</v>
      </c>
      <c r="H112" s="120">
        <v>17.510000000000002</v>
      </c>
      <c r="I112" s="67">
        <f>IF(X112 = 50, H112 + SUM(S112:S112) - SUM(T112:T112) - SUM(P112:P112) - V112,0)</f>
        <v>0</v>
      </c>
      <c r="J112" s="44"/>
      <c r="K112" s="92" t="s">
        <v>172</v>
      </c>
      <c r="L112" s="44"/>
      <c r="M112" s="44"/>
      <c r="N112" s="40">
        <v>44533</v>
      </c>
      <c r="O112" s="101" t="s">
        <v>107</v>
      </c>
      <c r="P112" s="42">
        <v>17.510000000000002</v>
      </c>
      <c r="Q112" s="43">
        <v>44539</v>
      </c>
      <c r="R112" s="44"/>
      <c r="S112" s="42"/>
      <c r="T112" s="42"/>
      <c r="U112" s="42"/>
      <c r="V112" s="69"/>
      <c r="W112" s="70"/>
      <c r="X112" s="48">
        <v>50</v>
      </c>
    </row>
    <row r="113" spans="1:24" s="48" customFormat="1" ht="105" x14ac:dyDescent="0.4">
      <c r="A113" s="62">
        <v>50</v>
      </c>
      <c r="B113" s="44"/>
      <c r="C113" s="44"/>
      <c r="D113" s="44" t="s">
        <v>59</v>
      </c>
      <c r="E113" s="90" t="s">
        <v>173</v>
      </c>
      <c r="F113" s="91">
        <v>44533</v>
      </c>
      <c r="G113" s="92" t="s">
        <v>174</v>
      </c>
      <c r="H113" s="120">
        <v>17900.169999999998</v>
      </c>
      <c r="I113" s="67">
        <f>IF(X113 = 51, H113 + SUM(S113:S113) - SUM(T113:T113) - SUM(P113:P113) - V113,0)</f>
        <v>0</v>
      </c>
      <c r="J113" s="44"/>
      <c r="K113" s="92" t="s">
        <v>175</v>
      </c>
      <c r="L113" s="44"/>
      <c r="M113" s="44"/>
      <c r="N113" s="40">
        <v>44546</v>
      </c>
      <c r="O113" s="101" t="s">
        <v>107</v>
      </c>
      <c r="P113" s="42">
        <v>17900.169999999998</v>
      </c>
      <c r="Q113" s="43">
        <v>44547</v>
      </c>
      <c r="R113" s="44"/>
      <c r="S113" s="42"/>
      <c r="T113" s="42"/>
      <c r="U113" s="42"/>
      <c r="V113" s="69"/>
      <c r="W113" s="70"/>
      <c r="X113" s="48">
        <v>51</v>
      </c>
    </row>
    <row r="114" spans="1:24" s="48" customFormat="1" ht="69.75" x14ac:dyDescent="0.4">
      <c r="A114" s="62">
        <v>51</v>
      </c>
      <c r="B114" s="44"/>
      <c r="C114" s="44"/>
      <c r="D114" s="44" t="s">
        <v>59</v>
      </c>
      <c r="E114" s="90" t="s">
        <v>176</v>
      </c>
      <c r="F114" s="121" t="s">
        <v>177</v>
      </c>
      <c r="G114" s="92" t="s">
        <v>178</v>
      </c>
      <c r="H114" s="120">
        <v>13050</v>
      </c>
      <c r="I114" s="67">
        <f>IF(X114 = 52, H114 + SUM(S114:S114) - SUM(T114:T114) - SUM(P114:P114) - V114,0)</f>
        <v>0</v>
      </c>
      <c r="J114" s="44"/>
      <c r="K114" s="92" t="s">
        <v>179</v>
      </c>
      <c r="L114" s="44"/>
      <c r="M114" s="44"/>
      <c r="N114" s="40">
        <v>44537</v>
      </c>
      <c r="O114" s="101" t="s">
        <v>107</v>
      </c>
      <c r="P114" s="42">
        <v>13050</v>
      </c>
      <c r="Q114" s="43">
        <v>44539</v>
      </c>
      <c r="R114" s="44"/>
      <c r="S114" s="42"/>
      <c r="T114" s="42"/>
      <c r="U114" s="42"/>
      <c r="V114" s="69"/>
      <c r="W114" s="70"/>
      <c r="X114" s="48">
        <v>52</v>
      </c>
    </row>
    <row r="115" spans="1:24" s="48" customFormat="1" ht="69.75" x14ac:dyDescent="0.4">
      <c r="A115" s="62">
        <v>52</v>
      </c>
      <c r="B115" s="44"/>
      <c r="C115" s="44"/>
      <c r="D115" s="44" t="s">
        <v>59</v>
      </c>
      <c r="E115" s="90" t="s">
        <v>180</v>
      </c>
      <c r="F115" s="91">
        <v>44537</v>
      </c>
      <c r="G115" s="92" t="s">
        <v>181</v>
      </c>
      <c r="H115" s="120">
        <v>17600</v>
      </c>
      <c r="I115" s="67">
        <f>IF(X115 = 53, H115 + SUM(S115:S115) - SUM(T115:T115) - SUM(P115:P115) - V115,0)</f>
        <v>0</v>
      </c>
      <c r="J115" s="44"/>
      <c r="K115" s="92" t="s">
        <v>182</v>
      </c>
      <c r="L115" s="44"/>
      <c r="M115" s="44"/>
      <c r="N115" s="40">
        <v>44537</v>
      </c>
      <c r="O115" s="101" t="s">
        <v>107</v>
      </c>
      <c r="P115" s="42">
        <v>17600</v>
      </c>
      <c r="Q115" s="43">
        <v>44552</v>
      </c>
      <c r="R115" s="44"/>
      <c r="S115" s="42"/>
      <c r="T115" s="42"/>
      <c r="U115" s="42"/>
      <c r="V115" s="69"/>
      <c r="W115" s="70"/>
      <c r="X115" s="48">
        <v>53</v>
      </c>
    </row>
    <row r="116" spans="1:24" s="48" customFormat="1" ht="69.75" x14ac:dyDescent="0.4">
      <c r="A116" s="62">
        <v>53</v>
      </c>
      <c r="B116" s="44"/>
      <c r="C116" s="44"/>
      <c r="D116" s="44" t="s">
        <v>59</v>
      </c>
      <c r="E116" s="90"/>
      <c r="F116" s="91">
        <v>44540</v>
      </c>
      <c r="G116" s="92" t="s">
        <v>170</v>
      </c>
      <c r="H116" s="120">
        <v>27300</v>
      </c>
      <c r="I116" s="67">
        <f>IF(X116 = 54, H116 + SUM(S116:S116) - SUM(T116:T116) - SUM(P116:P116) - V116,0)</f>
        <v>0</v>
      </c>
      <c r="J116" s="44"/>
      <c r="K116" s="92" t="s">
        <v>183</v>
      </c>
      <c r="L116" s="44"/>
      <c r="M116" s="44"/>
      <c r="N116" s="40">
        <v>44544</v>
      </c>
      <c r="O116" s="101" t="s">
        <v>107</v>
      </c>
      <c r="P116" s="42">
        <v>27300</v>
      </c>
      <c r="Q116" s="43">
        <v>40892</v>
      </c>
      <c r="R116" s="44"/>
      <c r="S116" s="42"/>
      <c r="T116" s="42"/>
      <c r="U116" s="42"/>
      <c r="V116" s="69"/>
      <c r="W116" s="70"/>
      <c r="X116" s="48">
        <v>54</v>
      </c>
    </row>
    <row r="117" spans="1:24" s="48" customFormat="1" ht="69.75" x14ac:dyDescent="0.4">
      <c r="A117" s="62">
        <v>54</v>
      </c>
      <c r="B117" s="44"/>
      <c r="C117" s="44"/>
      <c r="D117" s="44" t="s">
        <v>59</v>
      </c>
      <c r="E117" s="90">
        <v>302</v>
      </c>
      <c r="F117" s="91">
        <v>44540</v>
      </c>
      <c r="G117" s="92" t="s">
        <v>184</v>
      </c>
      <c r="H117" s="120">
        <v>19026</v>
      </c>
      <c r="I117" s="67">
        <f>IF(X117 = 55, H117 + SUM(S117:S117) - SUM(T117:T117) - SUM(P117:P117) - V117,0)</f>
        <v>0</v>
      </c>
      <c r="J117" s="44"/>
      <c r="K117" s="92" t="s">
        <v>185</v>
      </c>
      <c r="L117" s="44"/>
      <c r="M117" s="44"/>
      <c r="N117" s="40">
        <v>44540</v>
      </c>
      <c r="O117" s="101" t="s">
        <v>107</v>
      </c>
      <c r="P117" s="42">
        <v>19026</v>
      </c>
      <c r="Q117" s="43">
        <v>44547</v>
      </c>
      <c r="R117" s="44"/>
      <c r="S117" s="42"/>
      <c r="T117" s="42"/>
      <c r="U117" s="42"/>
      <c r="V117" s="69"/>
      <c r="W117" s="70"/>
      <c r="X117" s="48">
        <v>55</v>
      </c>
    </row>
    <row r="118" spans="1:24" s="48" customFormat="1" ht="78.75" x14ac:dyDescent="0.4">
      <c r="A118" s="62">
        <v>55</v>
      </c>
      <c r="B118" s="44"/>
      <c r="C118" s="44"/>
      <c r="D118" s="44" t="s">
        <v>59</v>
      </c>
      <c r="E118" s="107" t="s">
        <v>186</v>
      </c>
      <c r="F118" s="122">
        <v>44546</v>
      </c>
      <c r="G118" s="92" t="s">
        <v>187</v>
      </c>
      <c r="H118" s="120">
        <v>67880</v>
      </c>
      <c r="I118" s="67">
        <f>IF(X118 = 56, H118 + SUM(S118:S118) - SUM(T118:T118) - SUM(P118:P118) - V118,0)</f>
        <v>0</v>
      </c>
      <c r="J118" s="44"/>
      <c r="K118" s="92" t="s">
        <v>188</v>
      </c>
      <c r="L118" s="44"/>
      <c r="M118" s="44"/>
      <c r="N118" s="40">
        <v>44547</v>
      </c>
      <c r="O118" s="101" t="s">
        <v>107</v>
      </c>
      <c r="P118" s="42">
        <v>67880</v>
      </c>
      <c r="Q118" s="43">
        <v>40899</v>
      </c>
      <c r="R118" s="44"/>
      <c r="S118" s="42"/>
      <c r="T118" s="42"/>
      <c r="U118" s="42"/>
      <c r="V118" s="69"/>
      <c r="W118" s="70"/>
      <c r="X118" s="48">
        <v>56</v>
      </c>
    </row>
    <row r="119" spans="1:24" s="48" customFormat="1" ht="48.75" customHeight="1" x14ac:dyDescent="0.25">
      <c r="A119" s="62">
        <v>56</v>
      </c>
      <c r="B119" s="44"/>
      <c r="C119" s="44"/>
      <c r="D119" s="44" t="s">
        <v>59</v>
      </c>
      <c r="E119" s="123" t="s">
        <v>189</v>
      </c>
      <c r="F119" s="124">
        <v>44547</v>
      </c>
      <c r="G119" s="125" t="s">
        <v>85</v>
      </c>
      <c r="H119" s="126">
        <v>35441.65</v>
      </c>
      <c r="I119" s="67">
        <f>IF(X119 = 57, H119 + SUM(S119:S119) - SUM(T119:T119) - SUM(P119:P119) - V119,0)</f>
        <v>0</v>
      </c>
      <c r="J119" s="44"/>
      <c r="K119" s="125" t="s">
        <v>113</v>
      </c>
      <c r="L119" s="44"/>
      <c r="M119" s="44"/>
      <c r="N119" s="40">
        <v>44547</v>
      </c>
      <c r="O119" s="101" t="s">
        <v>107</v>
      </c>
      <c r="P119" s="42">
        <v>35441.65</v>
      </c>
      <c r="Q119" s="43">
        <v>44552</v>
      </c>
      <c r="R119" s="44"/>
      <c r="S119" s="42"/>
      <c r="T119" s="42"/>
      <c r="U119" s="42"/>
      <c r="V119" s="69"/>
      <c r="W119" s="70"/>
      <c r="X119" s="48">
        <v>57</v>
      </c>
    </row>
    <row r="120" spans="1:24" s="48" customFormat="1" ht="157.5" customHeight="1" x14ac:dyDescent="0.4">
      <c r="A120" s="62">
        <v>57</v>
      </c>
      <c r="B120" s="44"/>
      <c r="C120" s="44"/>
      <c r="D120" s="44" t="s">
        <v>59</v>
      </c>
      <c r="E120" s="107" t="s">
        <v>190</v>
      </c>
      <c r="F120" s="122">
        <v>44547</v>
      </c>
      <c r="G120" s="92" t="s">
        <v>191</v>
      </c>
      <c r="H120" s="120">
        <v>6000</v>
      </c>
      <c r="I120" s="67">
        <f>IF(X120 = 58, H120 + SUM(S120:S120) - SUM(T120:T120) - SUM(P120:P120) - V120,0)</f>
        <v>0</v>
      </c>
      <c r="J120" s="44"/>
      <c r="K120" s="92" t="s">
        <v>192</v>
      </c>
      <c r="L120" s="44"/>
      <c r="M120" s="44"/>
      <c r="N120" s="40">
        <v>44547</v>
      </c>
      <c r="O120" s="101" t="s">
        <v>107</v>
      </c>
      <c r="P120" s="42">
        <v>6000</v>
      </c>
      <c r="Q120" s="43">
        <v>44554</v>
      </c>
      <c r="R120" s="44"/>
      <c r="S120" s="42"/>
      <c r="T120" s="42"/>
      <c r="U120" s="42"/>
      <c r="V120" s="69"/>
      <c r="W120" s="70"/>
      <c r="X120" s="48">
        <v>58</v>
      </c>
    </row>
    <row r="121" spans="1:24" s="48" customFormat="1" ht="60" customHeight="1" x14ac:dyDescent="0.25">
      <c r="A121" s="62">
        <v>58</v>
      </c>
      <c r="B121" s="44"/>
      <c r="C121" s="44"/>
      <c r="D121" s="44" t="s">
        <v>59</v>
      </c>
      <c r="E121" s="127">
        <v>763</v>
      </c>
      <c r="F121" s="128">
        <v>44537</v>
      </c>
      <c r="G121" s="129" t="s">
        <v>193</v>
      </c>
      <c r="H121" s="130">
        <v>4000</v>
      </c>
      <c r="I121" s="131">
        <f>IF(X121 = 59, H121 + SUM(S121:S121) - SUM(T121:T121) - SUM(P121:P121) - V121,0)</f>
        <v>0</v>
      </c>
      <c r="J121" s="132"/>
      <c r="K121" s="129" t="s">
        <v>194</v>
      </c>
      <c r="L121" s="44"/>
      <c r="M121" s="44"/>
      <c r="N121" s="40">
        <v>44537</v>
      </c>
      <c r="O121" s="101" t="s">
        <v>107</v>
      </c>
      <c r="P121" s="42">
        <v>4000</v>
      </c>
      <c r="Q121" s="43" t="s">
        <v>195</v>
      </c>
      <c r="R121" s="44"/>
      <c r="S121" s="42"/>
      <c r="T121" s="42"/>
      <c r="U121" s="42"/>
      <c r="V121" s="69"/>
      <c r="W121" s="70"/>
      <c r="X121" s="48">
        <v>59</v>
      </c>
    </row>
    <row r="122" spans="1:24" s="48" customFormat="1" ht="20.25" x14ac:dyDescent="0.25">
      <c r="A122" s="62">
        <v>59</v>
      </c>
      <c r="B122" s="44"/>
      <c r="C122" s="44"/>
      <c r="D122" s="44" t="s">
        <v>59</v>
      </c>
      <c r="E122" s="94">
        <v>611</v>
      </c>
      <c r="F122" s="40"/>
      <c r="G122" s="95"/>
      <c r="H122" s="106"/>
      <c r="I122" s="67">
        <f>IF(X122 = 60, H122 + SUM(S122:S122) - SUM(T122:T122) - SUM(P122:P122) - V122,0)</f>
        <v>0</v>
      </c>
      <c r="J122" s="44"/>
      <c r="K122" s="95"/>
      <c r="L122" s="44"/>
      <c r="M122" s="44"/>
      <c r="N122" s="40"/>
      <c r="O122" s="40"/>
      <c r="P122" s="42"/>
      <c r="Q122" s="43"/>
      <c r="R122" s="44"/>
      <c r="S122" s="42"/>
      <c r="T122" s="42"/>
      <c r="U122" s="42"/>
      <c r="V122" s="69"/>
      <c r="W122" s="70"/>
      <c r="X122" s="48">
        <v>60</v>
      </c>
    </row>
    <row r="123" spans="1:24" s="48" customFormat="1" ht="20.25" x14ac:dyDescent="0.25">
      <c r="A123" s="62">
        <v>60</v>
      </c>
      <c r="B123" s="44"/>
      <c r="C123" s="44"/>
      <c r="D123" s="44" t="s">
        <v>59</v>
      </c>
      <c r="E123" s="94"/>
      <c r="F123" s="40"/>
      <c r="G123" s="95"/>
      <c r="H123" s="106"/>
      <c r="I123" s="67">
        <f>IF(X123 = 61, H123 + SUM(S123:S123) - SUM(T123:T123) - SUM(P123:P123) - V123,0)</f>
        <v>0</v>
      </c>
      <c r="J123" s="44"/>
      <c r="K123" s="95"/>
      <c r="L123" s="44"/>
      <c r="M123" s="44"/>
      <c r="N123" s="40"/>
      <c r="O123" s="40"/>
      <c r="P123" s="42"/>
      <c r="Q123" s="43"/>
      <c r="R123" s="44"/>
      <c r="S123" s="42"/>
      <c r="T123" s="42"/>
      <c r="U123" s="42"/>
      <c r="V123" s="69"/>
      <c r="W123" s="70"/>
      <c r="X123" s="48">
        <v>61</v>
      </c>
    </row>
    <row r="124" spans="1:24" x14ac:dyDescent="0.25">
      <c r="A124" s="17"/>
      <c r="B124" s="17"/>
      <c r="C124" s="17"/>
      <c r="D124" s="17"/>
      <c r="E124" s="18"/>
      <c r="F124" s="17"/>
      <c r="G124" s="17"/>
      <c r="H124" s="20"/>
      <c r="I124" s="20"/>
      <c r="J124" s="17"/>
      <c r="K124" s="17"/>
      <c r="L124" s="17"/>
      <c r="M124" s="17"/>
      <c r="N124" s="18"/>
      <c r="O124" s="17"/>
      <c r="P124" s="133"/>
      <c r="Q124" s="18"/>
      <c r="R124" s="134"/>
      <c r="S124" s="134"/>
      <c r="T124" s="134"/>
      <c r="U124" s="18"/>
      <c r="V124" s="133"/>
      <c r="W124" s="134"/>
      <c r="X124" s="5">
        <v>62</v>
      </c>
    </row>
    <row r="125" spans="1:24" s="139" customFormat="1" x14ac:dyDescent="0.25">
      <c r="A125" s="135"/>
      <c r="B125" s="135"/>
      <c r="C125" s="135"/>
      <c r="D125" s="135"/>
      <c r="E125" s="136"/>
      <c r="F125" s="135"/>
      <c r="G125" s="135"/>
      <c r="H125" s="137"/>
      <c r="I125" s="137"/>
      <c r="J125" s="135"/>
      <c r="K125" s="135"/>
      <c r="L125" s="135"/>
      <c r="M125" s="135"/>
      <c r="N125" s="136"/>
      <c r="O125" s="135"/>
      <c r="P125" s="138"/>
      <c r="Q125" s="136"/>
      <c r="U125" s="136"/>
      <c r="V125" s="138"/>
    </row>
    <row r="126" spans="1:24" s="139" customFormat="1" x14ac:dyDescent="0.25">
      <c r="A126" s="135"/>
      <c r="B126" s="135"/>
      <c r="C126" s="135"/>
      <c r="D126" s="135"/>
      <c r="E126" s="136"/>
      <c r="F126" s="135"/>
      <c r="G126" s="135"/>
      <c r="H126" s="137"/>
      <c r="I126" s="137"/>
      <c r="J126" s="135"/>
      <c r="K126" s="135"/>
      <c r="L126" s="135"/>
      <c r="M126" s="135"/>
      <c r="N126" s="136"/>
      <c r="O126" s="135"/>
      <c r="P126" s="138"/>
      <c r="Q126" s="136"/>
      <c r="U126" s="136"/>
      <c r="V126" s="138"/>
    </row>
    <row r="127" spans="1:24" s="139" customFormat="1" x14ac:dyDescent="0.25">
      <c r="A127" s="135"/>
      <c r="B127" s="135"/>
      <c r="C127" s="135"/>
      <c r="D127" s="135"/>
      <c r="E127" s="136"/>
      <c r="F127" s="135"/>
      <c r="G127" s="135"/>
      <c r="H127" s="137"/>
      <c r="I127" s="137"/>
      <c r="J127" s="135"/>
      <c r="K127" s="135"/>
      <c r="L127" s="135"/>
      <c r="M127" s="135"/>
      <c r="N127" s="136"/>
      <c r="O127" s="135"/>
      <c r="P127" s="138"/>
      <c r="Q127" s="136"/>
      <c r="U127" s="136"/>
      <c r="V127" s="138"/>
    </row>
    <row r="128" spans="1:24" s="139" customFormat="1" x14ac:dyDescent="0.25">
      <c r="A128" s="135"/>
      <c r="B128" s="135"/>
      <c r="C128" s="135"/>
      <c r="D128" s="135"/>
      <c r="E128" s="136"/>
      <c r="F128" s="135"/>
      <c r="G128" s="135"/>
      <c r="H128" s="137"/>
      <c r="I128" s="137"/>
      <c r="J128" s="135"/>
      <c r="K128" s="135"/>
      <c r="L128" s="135"/>
      <c r="M128" s="135"/>
      <c r="N128" s="136"/>
      <c r="O128" s="135"/>
      <c r="P128" s="138"/>
      <c r="Q128" s="136"/>
      <c r="U128" s="136"/>
      <c r="V128" s="138"/>
    </row>
    <row r="129" spans="1:22" s="139" customFormat="1" x14ac:dyDescent="0.25">
      <c r="A129" s="135"/>
      <c r="B129" s="135"/>
      <c r="C129" s="135"/>
      <c r="D129" s="135"/>
      <c r="E129" s="136"/>
      <c r="F129" s="135"/>
      <c r="G129" s="135"/>
      <c r="H129" s="137"/>
      <c r="I129" s="137"/>
      <c r="J129" s="135"/>
      <c r="K129" s="135"/>
      <c r="L129" s="135"/>
      <c r="M129" s="135"/>
      <c r="N129" s="136"/>
      <c r="O129" s="135"/>
      <c r="P129" s="138"/>
      <c r="Q129" s="136"/>
      <c r="U129" s="136"/>
      <c r="V129" s="138"/>
    </row>
  </sheetData>
  <mergeCells count="194">
    <mergeCell ref="M106:M107"/>
    <mergeCell ref="O106:O107"/>
    <mergeCell ref="U106:U107"/>
    <mergeCell ref="V106:V107"/>
    <mergeCell ref="W106:W107"/>
    <mergeCell ref="G106:G107"/>
    <mergeCell ref="H106:H107"/>
    <mergeCell ref="I106:I107"/>
    <mergeCell ref="J106:J107"/>
    <mergeCell ref="K106:K107"/>
    <mergeCell ref="L106:L107"/>
    <mergeCell ref="A106:A107"/>
    <mergeCell ref="B106:B107"/>
    <mergeCell ref="C106:C107"/>
    <mergeCell ref="D106:D107"/>
    <mergeCell ref="E106:E107"/>
    <mergeCell ref="F106:F107"/>
    <mergeCell ref="L100:L105"/>
    <mergeCell ref="M100:M105"/>
    <mergeCell ref="O100:O105"/>
    <mergeCell ref="U100:U105"/>
    <mergeCell ref="V100:V105"/>
    <mergeCell ref="W100:W105"/>
    <mergeCell ref="F100:F105"/>
    <mergeCell ref="G100:G105"/>
    <mergeCell ref="H100:H105"/>
    <mergeCell ref="I100:I105"/>
    <mergeCell ref="J100:J105"/>
    <mergeCell ref="K100:K105"/>
    <mergeCell ref="M94:M99"/>
    <mergeCell ref="O94:O99"/>
    <mergeCell ref="U94:U99"/>
    <mergeCell ref="V94:V99"/>
    <mergeCell ref="W94:W99"/>
    <mergeCell ref="A100:A105"/>
    <mergeCell ref="B100:B105"/>
    <mergeCell ref="C100:C105"/>
    <mergeCell ref="D100:D105"/>
    <mergeCell ref="E100:E105"/>
    <mergeCell ref="G94:G99"/>
    <mergeCell ref="H94:H99"/>
    <mergeCell ref="I94:I99"/>
    <mergeCell ref="J94:J99"/>
    <mergeCell ref="K94:K99"/>
    <mergeCell ref="L94:L99"/>
    <mergeCell ref="A94:A99"/>
    <mergeCell ref="B94:B99"/>
    <mergeCell ref="C94:C99"/>
    <mergeCell ref="D94:D99"/>
    <mergeCell ref="E94:E99"/>
    <mergeCell ref="F94:F99"/>
    <mergeCell ref="L90:L91"/>
    <mergeCell ref="M90:M91"/>
    <mergeCell ref="O90:O91"/>
    <mergeCell ref="U90:U91"/>
    <mergeCell ref="V90:V91"/>
    <mergeCell ref="W90:W91"/>
    <mergeCell ref="F90:F91"/>
    <mergeCell ref="G90:G91"/>
    <mergeCell ref="H90:H91"/>
    <mergeCell ref="I90:I91"/>
    <mergeCell ref="J90:J91"/>
    <mergeCell ref="K90:K91"/>
    <mergeCell ref="M88:M89"/>
    <mergeCell ref="O88:O89"/>
    <mergeCell ref="U88:U89"/>
    <mergeCell ref="V88:V89"/>
    <mergeCell ref="W88:W89"/>
    <mergeCell ref="A90:A91"/>
    <mergeCell ref="B90:B91"/>
    <mergeCell ref="C90:C91"/>
    <mergeCell ref="D90:D91"/>
    <mergeCell ref="E90:E91"/>
    <mergeCell ref="G88:G89"/>
    <mergeCell ref="H88:H89"/>
    <mergeCell ref="I88:I89"/>
    <mergeCell ref="J88:J89"/>
    <mergeCell ref="K88:K89"/>
    <mergeCell ref="L88:L89"/>
    <mergeCell ref="A88:A89"/>
    <mergeCell ref="B88:B89"/>
    <mergeCell ref="C88:C89"/>
    <mergeCell ref="D88:D89"/>
    <mergeCell ref="E88:E89"/>
    <mergeCell ref="F88:F89"/>
    <mergeCell ref="L67:L68"/>
    <mergeCell ref="M67:M68"/>
    <mergeCell ref="O67:O68"/>
    <mergeCell ref="U67:U68"/>
    <mergeCell ref="V67:V68"/>
    <mergeCell ref="W67:W68"/>
    <mergeCell ref="F67:F68"/>
    <mergeCell ref="G67:G68"/>
    <mergeCell ref="H67:H68"/>
    <mergeCell ref="I67:I68"/>
    <mergeCell ref="J67:J68"/>
    <mergeCell ref="K67:K68"/>
    <mergeCell ref="M64:M66"/>
    <mergeCell ref="O64:O66"/>
    <mergeCell ref="U64:U66"/>
    <mergeCell ref="V64:V66"/>
    <mergeCell ref="W64:W66"/>
    <mergeCell ref="A67:A68"/>
    <mergeCell ref="B67:B68"/>
    <mergeCell ref="C67:C68"/>
    <mergeCell ref="D67:D68"/>
    <mergeCell ref="E67:E68"/>
    <mergeCell ref="G64:G66"/>
    <mergeCell ref="H64:H66"/>
    <mergeCell ref="I64:I66"/>
    <mergeCell ref="J64:J66"/>
    <mergeCell ref="K64:K66"/>
    <mergeCell ref="L64:L66"/>
    <mergeCell ref="A64:A66"/>
    <mergeCell ref="B64:B66"/>
    <mergeCell ref="C64:C66"/>
    <mergeCell ref="D64:D66"/>
    <mergeCell ref="E64:E66"/>
    <mergeCell ref="F64:F66"/>
    <mergeCell ref="L39:L51"/>
    <mergeCell ref="M39:M51"/>
    <mergeCell ref="O39:O51"/>
    <mergeCell ref="U39:U51"/>
    <mergeCell ref="V39:V51"/>
    <mergeCell ref="W39:W51"/>
    <mergeCell ref="F39:F51"/>
    <mergeCell ref="G39:G51"/>
    <mergeCell ref="H39:H51"/>
    <mergeCell ref="I39:I51"/>
    <mergeCell ref="J39:J51"/>
    <mergeCell ref="K39:K51"/>
    <mergeCell ref="M34:M38"/>
    <mergeCell ref="O34:O38"/>
    <mergeCell ref="U34:U38"/>
    <mergeCell ref="V34:V38"/>
    <mergeCell ref="W34:W38"/>
    <mergeCell ref="A39:A51"/>
    <mergeCell ref="B39:B51"/>
    <mergeCell ref="C39:C51"/>
    <mergeCell ref="D39:D51"/>
    <mergeCell ref="E39:E51"/>
    <mergeCell ref="G34:G38"/>
    <mergeCell ref="H34:H38"/>
    <mergeCell ref="I34:I38"/>
    <mergeCell ref="J34:J38"/>
    <mergeCell ref="K34:K38"/>
    <mergeCell ref="L34:L38"/>
    <mergeCell ref="A34:A38"/>
    <mergeCell ref="B34:B38"/>
    <mergeCell ref="C34:C38"/>
    <mergeCell ref="D34:D38"/>
    <mergeCell ref="E34:E38"/>
    <mergeCell ref="F34:F38"/>
    <mergeCell ref="L21:L33"/>
    <mergeCell ref="M21:M33"/>
    <mergeCell ref="O21:O33"/>
    <mergeCell ref="U21:U33"/>
    <mergeCell ref="V21:V33"/>
    <mergeCell ref="W21:W33"/>
    <mergeCell ref="F21:F33"/>
    <mergeCell ref="G21:G33"/>
    <mergeCell ref="H21:H33"/>
    <mergeCell ref="I21:I33"/>
    <mergeCell ref="J21:J33"/>
    <mergeCell ref="K21:K33"/>
    <mergeCell ref="M9:M20"/>
    <mergeCell ref="O9:O20"/>
    <mergeCell ref="U9:U20"/>
    <mergeCell ref="V9:V20"/>
    <mergeCell ref="W9:W20"/>
    <mergeCell ref="A21:A33"/>
    <mergeCell ref="B21:B33"/>
    <mergeCell ref="C21:C33"/>
    <mergeCell ref="D21:D33"/>
    <mergeCell ref="E21:E33"/>
    <mergeCell ref="G9:G20"/>
    <mergeCell ref="H9:H20"/>
    <mergeCell ref="I9:I20"/>
    <mergeCell ref="J9:J20"/>
    <mergeCell ref="K9:K20"/>
    <mergeCell ref="L9:L20"/>
    <mergeCell ref="A9:A20"/>
    <mergeCell ref="B9:B20"/>
    <mergeCell ref="C9:C20"/>
    <mergeCell ref="D9:D20"/>
    <mergeCell ref="E9:E20"/>
    <mergeCell ref="F9:F20"/>
    <mergeCell ref="K2:M2"/>
    <mergeCell ref="N2:O2"/>
    <mergeCell ref="S2:U2"/>
    <mergeCell ref="A3:E3"/>
    <mergeCell ref="J4:K4"/>
    <mergeCell ref="M4:N4"/>
    <mergeCell ref="O4:P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9"/>
  <sheetViews>
    <sheetView zoomScale="50" zoomScaleNormal="50" workbookViewId="0">
      <selection activeCell="B6" sqref="B6"/>
    </sheetView>
  </sheetViews>
  <sheetFormatPr defaultColWidth="0" defaultRowHeight="18.75" x14ac:dyDescent="0.25"/>
  <cols>
    <col min="1" max="1" width="14" style="1" customWidth="1"/>
    <col min="2" max="2" width="40.28515625" style="1" customWidth="1"/>
    <col min="3" max="3" width="34" style="1" customWidth="1"/>
    <col min="4" max="4" width="34.5703125" style="1" customWidth="1"/>
    <col min="5" max="5" width="23.85546875" style="1" customWidth="1"/>
    <col min="6" max="6" width="32.42578125" style="1" customWidth="1"/>
    <col min="7" max="7" width="27.42578125" style="2" customWidth="1"/>
    <col min="8" max="8" width="38.42578125" style="1" bestFit="1" customWidth="1"/>
    <col min="9" max="9" width="33" style="1" customWidth="1"/>
    <col min="10" max="11" width="27.28515625" style="4" customWidth="1"/>
    <col min="12" max="12" width="21.42578125" style="1" customWidth="1"/>
    <col min="13" max="13" width="26.5703125" style="1" customWidth="1"/>
    <col min="14" max="14" width="28.140625" style="2" customWidth="1"/>
    <col min="15" max="15" width="39.28515625" style="1" customWidth="1"/>
    <col min="16" max="16" width="24.7109375" style="4" customWidth="1"/>
    <col min="17" max="17" width="24.42578125" style="2" customWidth="1"/>
    <col min="18" max="18" width="23.42578125" style="1" customWidth="1"/>
    <col min="19" max="19" width="25.7109375" style="1" customWidth="1"/>
    <col min="20" max="20" width="26" style="1" customWidth="1"/>
    <col min="21" max="21" width="23.7109375" style="2" customWidth="1"/>
    <col min="22" max="22" width="24" style="3" customWidth="1"/>
    <col min="23" max="23" width="21.85546875" style="5" customWidth="1"/>
    <col min="24" max="16384" width="9.140625" style="5" hidden="1"/>
  </cols>
  <sheetData>
    <row r="1" spans="1:24" ht="19.5" thickBot="1" x14ac:dyDescent="0.3"/>
    <row r="2" spans="1:24" ht="39.950000000000003" customHeight="1" thickBot="1" x14ac:dyDescent="0.3">
      <c r="E2" s="6"/>
      <c r="F2" s="140" t="s">
        <v>0</v>
      </c>
      <c r="G2" s="141"/>
      <c r="H2" s="142">
        <f>SUM(H9:H9999)</f>
        <v>7378770.8900000006</v>
      </c>
      <c r="I2" s="6"/>
      <c r="J2" s="143"/>
      <c r="N2" s="11" t="s">
        <v>1</v>
      </c>
      <c r="O2" s="12"/>
      <c r="P2" s="13">
        <f>SUM(P9:P9999)</f>
        <v>6686015.2500000009</v>
      </c>
      <c r="R2" s="6"/>
      <c r="S2" s="11" t="s">
        <v>2</v>
      </c>
      <c r="T2" s="14"/>
      <c r="U2" s="12"/>
      <c r="V2" s="15">
        <f>SUM(V9:V9999)</f>
        <v>282983.67000000004</v>
      </c>
    </row>
    <row r="3" spans="1:24" x14ac:dyDescent="0.25">
      <c r="F3" s="53"/>
      <c r="G3" s="53"/>
      <c r="H3" s="53"/>
      <c r="I3" s="53"/>
      <c r="J3" s="143"/>
      <c r="K3" s="138"/>
      <c r="L3" s="135"/>
      <c r="M3" s="135"/>
      <c r="N3" s="53"/>
      <c r="O3" s="53"/>
      <c r="P3" s="143"/>
      <c r="Q3" s="136"/>
      <c r="R3" s="53"/>
      <c r="S3" s="53"/>
      <c r="T3" s="53"/>
      <c r="U3" s="53"/>
      <c r="V3" s="7"/>
    </row>
    <row r="4" spans="1:24" ht="39.950000000000003" customHeight="1" x14ac:dyDescent="0.25">
      <c r="F4" s="53"/>
      <c r="G4" s="53"/>
      <c r="H4" s="53"/>
      <c r="I4" s="53"/>
      <c r="J4" s="143"/>
      <c r="K4" s="138"/>
      <c r="L4" s="135"/>
      <c r="M4" s="135"/>
      <c r="N4" s="53"/>
      <c r="O4" s="53"/>
      <c r="P4" s="143"/>
      <c r="Q4" s="136"/>
      <c r="R4" s="53"/>
      <c r="S4" s="53"/>
      <c r="T4" s="53"/>
      <c r="U4" s="53"/>
      <c r="V4" s="7"/>
    </row>
    <row r="6" spans="1:24" ht="150" x14ac:dyDescent="0.25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2" t="s">
        <v>9</v>
      </c>
      <c r="H6" s="21" t="s">
        <v>10</v>
      </c>
      <c r="I6" s="21" t="s">
        <v>11</v>
      </c>
      <c r="J6" s="24" t="s">
        <v>12</v>
      </c>
      <c r="K6" s="24" t="s">
        <v>13</v>
      </c>
      <c r="L6" s="21" t="s">
        <v>196</v>
      </c>
      <c r="M6" s="21" t="s">
        <v>197</v>
      </c>
      <c r="N6" s="22" t="s">
        <v>198</v>
      </c>
      <c r="O6" s="21" t="s">
        <v>17</v>
      </c>
      <c r="P6" s="24" t="s">
        <v>18</v>
      </c>
      <c r="Q6" s="22" t="s">
        <v>19</v>
      </c>
      <c r="R6" s="144" t="s">
        <v>20</v>
      </c>
      <c r="S6" s="144" t="s">
        <v>21</v>
      </c>
      <c r="T6" s="144" t="s">
        <v>22</v>
      </c>
      <c r="U6" s="145" t="s">
        <v>23</v>
      </c>
      <c r="V6" s="23" t="s">
        <v>199</v>
      </c>
      <c r="W6" s="25" t="s">
        <v>25</v>
      </c>
    </row>
    <row r="7" spans="1:24" x14ac:dyDescent="0.25">
      <c r="A7" s="26" t="s">
        <v>26</v>
      </c>
      <c r="B7" s="26" t="s">
        <v>27</v>
      </c>
      <c r="C7" s="26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26" t="s">
        <v>33</v>
      </c>
      <c r="I7" s="26" t="s">
        <v>34</v>
      </c>
      <c r="J7" s="26" t="s">
        <v>35</v>
      </c>
      <c r="K7" s="26" t="s">
        <v>36</v>
      </c>
      <c r="L7" s="26" t="s">
        <v>37</v>
      </c>
      <c r="M7" s="26" t="s">
        <v>38</v>
      </c>
      <c r="N7" s="26" t="s">
        <v>39</v>
      </c>
      <c r="O7" s="26" t="s">
        <v>40</v>
      </c>
      <c r="P7" s="26" t="s">
        <v>41</v>
      </c>
      <c r="Q7" s="26" t="s">
        <v>42</v>
      </c>
      <c r="R7" s="26" t="s">
        <v>43</v>
      </c>
      <c r="S7" s="26" t="s">
        <v>44</v>
      </c>
      <c r="T7" s="26" t="s">
        <v>45</v>
      </c>
      <c r="U7" s="26" t="s">
        <v>46</v>
      </c>
      <c r="V7" s="26" t="s">
        <v>47</v>
      </c>
      <c r="W7" s="26" t="s">
        <v>48</v>
      </c>
    </row>
    <row r="8" spans="1:24" s="153" customFormat="1" ht="56.25" customHeight="1" x14ac:dyDescent="0.25">
      <c r="A8" s="146" t="s">
        <v>26</v>
      </c>
      <c r="B8" s="146" t="s">
        <v>49</v>
      </c>
      <c r="C8" s="146"/>
      <c r="D8" s="146" t="s">
        <v>50</v>
      </c>
      <c r="E8" s="146" t="s">
        <v>51</v>
      </c>
      <c r="F8" s="147">
        <v>43839</v>
      </c>
      <c r="G8" s="148" t="s">
        <v>53</v>
      </c>
      <c r="H8" s="149">
        <v>20000</v>
      </c>
      <c r="I8" s="149">
        <v>0</v>
      </c>
      <c r="J8" s="150">
        <v>2353019514</v>
      </c>
      <c r="K8" s="151" t="s">
        <v>55</v>
      </c>
      <c r="L8" s="146"/>
      <c r="M8" s="146" t="s">
        <v>56</v>
      </c>
      <c r="N8" s="148">
        <v>43840</v>
      </c>
      <c r="O8" s="146" t="s">
        <v>80</v>
      </c>
      <c r="P8" s="151">
        <v>20000</v>
      </c>
      <c r="Q8" s="148">
        <v>43840</v>
      </c>
      <c r="R8" s="146"/>
      <c r="S8" s="146"/>
      <c r="T8" s="146"/>
      <c r="U8" s="148"/>
      <c r="V8" s="149"/>
      <c r="W8" s="152" t="s">
        <v>58</v>
      </c>
    </row>
    <row r="9" spans="1:24" s="157" customFormat="1" ht="131.25" customHeight="1" x14ac:dyDescent="0.25">
      <c r="A9" s="33">
        <v>1</v>
      </c>
      <c r="B9" s="34"/>
      <c r="C9" s="34"/>
      <c r="D9" s="34" t="s">
        <v>59</v>
      </c>
      <c r="E9" s="55" t="s">
        <v>48</v>
      </c>
      <c r="F9" s="56">
        <v>44189</v>
      </c>
      <c r="G9" s="57" t="s">
        <v>200</v>
      </c>
      <c r="H9" s="58">
        <v>5337.6</v>
      </c>
      <c r="I9" s="59">
        <f>IF(X9 = 4, H9 + SUM(S9:S20) - SUM(T9:T20) - SUM(P9:P20) - V9,0)</f>
        <v>-9.0949470177292824E-13</v>
      </c>
      <c r="J9" s="154"/>
      <c r="K9" s="155" t="s">
        <v>201</v>
      </c>
      <c r="L9" s="34"/>
      <c r="M9" s="34" t="s">
        <v>202</v>
      </c>
      <c r="N9" s="40">
        <v>44227</v>
      </c>
      <c r="O9" s="41" t="s">
        <v>80</v>
      </c>
      <c r="P9" s="42">
        <v>444.8</v>
      </c>
      <c r="Q9" s="43">
        <v>44235</v>
      </c>
      <c r="R9" s="44"/>
      <c r="S9" s="42"/>
      <c r="T9" s="42"/>
      <c r="U9" s="45"/>
      <c r="V9" s="156"/>
      <c r="W9" s="47"/>
      <c r="X9" s="157">
        <v>4</v>
      </c>
    </row>
    <row r="10" spans="1:24" s="139" customFormat="1" x14ac:dyDescent="0.25">
      <c r="A10" s="33"/>
      <c r="B10" s="34"/>
      <c r="C10" s="34"/>
      <c r="D10" s="34"/>
      <c r="E10" s="55"/>
      <c r="F10" s="56"/>
      <c r="G10" s="57"/>
      <c r="H10" s="58"/>
      <c r="I10" s="59"/>
      <c r="J10" s="154"/>
      <c r="K10" s="155"/>
      <c r="L10" s="34"/>
      <c r="M10" s="34"/>
      <c r="N10" s="49">
        <v>44255</v>
      </c>
      <c r="O10" s="41"/>
      <c r="P10" s="42">
        <v>444.8</v>
      </c>
      <c r="Q10" s="51">
        <v>44259</v>
      </c>
      <c r="R10" s="52"/>
      <c r="S10" s="50"/>
      <c r="T10" s="50"/>
      <c r="U10" s="45"/>
      <c r="V10" s="156"/>
      <c r="W10" s="47"/>
      <c r="X10" s="139">
        <v>4</v>
      </c>
    </row>
    <row r="11" spans="1:24" s="139" customFormat="1" x14ac:dyDescent="0.25">
      <c r="A11" s="33"/>
      <c r="B11" s="34"/>
      <c r="C11" s="34"/>
      <c r="D11" s="34"/>
      <c r="E11" s="55"/>
      <c r="F11" s="56"/>
      <c r="G11" s="57"/>
      <c r="H11" s="58"/>
      <c r="I11" s="59"/>
      <c r="J11" s="154"/>
      <c r="K11" s="155"/>
      <c r="L11" s="34"/>
      <c r="M11" s="34"/>
      <c r="N11" s="49">
        <v>44286</v>
      </c>
      <c r="O11" s="41"/>
      <c r="P11" s="42">
        <v>444.8</v>
      </c>
      <c r="Q11" s="51">
        <v>44294</v>
      </c>
      <c r="R11" s="52"/>
      <c r="S11" s="50"/>
      <c r="T11" s="50"/>
      <c r="U11" s="45"/>
      <c r="V11" s="156"/>
      <c r="W11" s="47"/>
      <c r="X11" s="139">
        <v>4</v>
      </c>
    </row>
    <row r="12" spans="1:24" s="139" customFormat="1" x14ac:dyDescent="0.25">
      <c r="A12" s="33"/>
      <c r="B12" s="34"/>
      <c r="C12" s="34"/>
      <c r="D12" s="34"/>
      <c r="E12" s="55"/>
      <c r="F12" s="56"/>
      <c r="G12" s="57"/>
      <c r="H12" s="58"/>
      <c r="I12" s="59"/>
      <c r="J12" s="154"/>
      <c r="K12" s="155"/>
      <c r="L12" s="34"/>
      <c r="M12" s="34"/>
      <c r="N12" s="49">
        <v>44316</v>
      </c>
      <c r="O12" s="41"/>
      <c r="P12" s="42">
        <v>444.8</v>
      </c>
      <c r="Q12" s="51">
        <v>44328</v>
      </c>
      <c r="R12" s="52"/>
      <c r="S12" s="50"/>
      <c r="T12" s="50"/>
      <c r="U12" s="45"/>
      <c r="V12" s="156"/>
      <c r="W12" s="47"/>
      <c r="X12" s="139">
        <v>4</v>
      </c>
    </row>
    <row r="13" spans="1:24" s="139" customFormat="1" x14ac:dyDescent="0.25">
      <c r="A13" s="33"/>
      <c r="B13" s="34"/>
      <c r="C13" s="34"/>
      <c r="D13" s="34"/>
      <c r="E13" s="55"/>
      <c r="F13" s="56"/>
      <c r="G13" s="57"/>
      <c r="H13" s="58"/>
      <c r="I13" s="59"/>
      <c r="J13" s="154"/>
      <c r="K13" s="155"/>
      <c r="L13" s="34"/>
      <c r="M13" s="34"/>
      <c r="N13" s="49">
        <v>44347</v>
      </c>
      <c r="O13" s="41"/>
      <c r="P13" s="42">
        <v>444.8</v>
      </c>
      <c r="Q13" s="51">
        <v>44355</v>
      </c>
      <c r="R13" s="52"/>
      <c r="S13" s="50"/>
      <c r="T13" s="50"/>
      <c r="U13" s="45"/>
      <c r="V13" s="156"/>
      <c r="W13" s="47"/>
      <c r="X13" s="139">
        <v>4</v>
      </c>
    </row>
    <row r="14" spans="1:24" s="139" customFormat="1" x14ac:dyDescent="0.25">
      <c r="A14" s="33"/>
      <c r="B14" s="34"/>
      <c r="C14" s="34"/>
      <c r="D14" s="34"/>
      <c r="E14" s="55"/>
      <c r="F14" s="56"/>
      <c r="G14" s="57"/>
      <c r="H14" s="58"/>
      <c r="I14" s="59"/>
      <c r="J14" s="154"/>
      <c r="K14" s="155"/>
      <c r="L14" s="34"/>
      <c r="M14" s="34"/>
      <c r="N14" s="49">
        <v>44377</v>
      </c>
      <c r="O14" s="41"/>
      <c r="P14" s="42">
        <v>444.8</v>
      </c>
      <c r="Q14" s="51">
        <v>44421</v>
      </c>
      <c r="R14" s="52"/>
      <c r="S14" s="50"/>
      <c r="T14" s="50"/>
      <c r="U14" s="45"/>
      <c r="V14" s="156"/>
      <c r="W14" s="47"/>
      <c r="X14" s="139">
        <v>4</v>
      </c>
    </row>
    <row r="15" spans="1:24" s="139" customFormat="1" x14ac:dyDescent="0.25">
      <c r="A15" s="33"/>
      <c r="B15" s="34"/>
      <c r="C15" s="34"/>
      <c r="D15" s="34"/>
      <c r="E15" s="55"/>
      <c r="F15" s="56"/>
      <c r="G15" s="57"/>
      <c r="H15" s="58"/>
      <c r="I15" s="59"/>
      <c r="J15" s="154"/>
      <c r="K15" s="155"/>
      <c r="L15" s="34"/>
      <c r="M15" s="34"/>
      <c r="N15" s="49">
        <v>44408</v>
      </c>
      <c r="O15" s="41"/>
      <c r="P15" s="50">
        <v>444.8</v>
      </c>
      <c r="Q15" s="51">
        <v>44412</v>
      </c>
      <c r="R15" s="52"/>
      <c r="S15" s="50"/>
      <c r="T15" s="50"/>
      <c r="U15" s="45"/>
      <c r="V15" s="156"/>
      <c r="W15" s="47"/>
      <c r="X15" s="139">
        <v>4</v>
      </c>
    </row>
    <row r="16" spans="1:24" s="139" customFormat="1" x14ac:dyDescent="0.25">
      <c r="A16" s="33"/>
      <c r="B16" s="34"/>
      <c r="C16" s="34"/>
      <c r="D16" s="34"/>
      <c r="E16" s="55"/>
      <c r="F16" s="56"/>
      <c r="G16" s="57"/>
      <c r="H16" s="58"/>
      <c r="I16" s="59"/>
      <c r="J16" s="154"/>
      <c r="K16" s="155"/>
      <c r="L16" s="34"/>
      <c r="M16" s="34"/>
      <c r="N16" s="49">
        <v>44439</v>
      </c>
      <c r="O16" s="41"/>
      <c r="P16" s="50">
        <v>444.8</v>
      </c>
      <c r="Q16" s="51">
        <v>44452</v>
      </c>
      <c r="R16" s="52"/>
      <c r="S16" s="50"/>
      <c r="T16" s="50"/>
      <c r="U16" s="45"/>
      <c r="V16" s="156"/>
      <c r="W16" s="47"/>
      <c r="X16" s="139">
        <v>4</v>
      </c>
    </row>
    <row r="17" spans="1:24" s="139" customFormat="1" x14ac:dyDescent="0.25">
      <c r="A17" s="33"/>
      <c r="B17" s="34"/>
      <c r="C17" s="34"/>
      <c r="D17" s="34"/>
      <c r="E17" s="55"/>
      <c r="F17" s="56"/>
      <c r="G17" s="57"/>
      <c r="H17" s="58"/>
      <c r="I17" s="59"/>
      <c r="J17" s="154"/>
      <c r="K17" s="155"/>
      <c r="L17" s="34"/>
      <c r="M17" s="34"/>
      <c r="N17" s="49">
        <v>44469</v>
      </c>
      <c r="O17" s="41"/>
      <c r="P17" s="50">
        <v>444.8</v>
      </c>
      <c r="Q17" s="51">
        <v>44484</v>
      </c>
      <c r="R17" s="52"/>
      <c r="S17" s="50"/>
      <c r="T17" s="50"/>
      <c r="U17" s="45"/>
      <c r="V17" s="156"/>
      <c r="W17" s="47"/>
      <c r="X17" s="139">
        <v>4</v>
      </c>
    </row>
    <row r="18" spans="1:24" s="139" customFormat="1" x14ac:dyDescent="0.25">
      <c r="A18" s="33"/>
      <c r="B18" s="34"/>
      <c r="C18" s="34"/>
      <c r="D18" s="34"/>
      <c r="E18" s="55"/>
      <c r="F18" s="56"/>
      <c r="G18" s="57"/>
      <c r="H18" s="58"/>
      <c r="I18" s="59"/>
      <c r="J18" s="154"/>
      <c r="K18" s="155"/>
      <c r="L18" s="34"/>
      <c r="M18" s="34"/>
      <c r="N18" s="49">
        <v>44500</v>
      </c>
      <c r="O18" s="41"/>
      <c r="P18" s="50">
        <v>444.8</v>
      </c>
      <c r="Q18" s="51">
        <v>44509</v>
      </c>
      <c r="R18" s="52"/>
      <c r="S18" s="50"/>
      <c r="T18" s="50"/>
      <c r="U18" s="45"/>
      <c r="V18" s="156"/>
      <c r="W18" s="47"/>
      <c r="X18" s="139">
        <v>4</v>
      </c>
    </row>
    <row r="19" spans="1:24" s="139" customFormat="1" x14ac:dyDescent="0.25">
      <c r="A19" s="33"/>
      <c r="B19" s="34"/>
      <c r="C19" s="34"/>
      <c r="D19" s="34"/>
      <c r="E19" s="55"/>
      <c r="F19" s="56"/>
      <c r="G19" s="57"/>
      <c r="H19" s="58"/>
      <c r="I19" s="59"/>
      <c r="J19" s="154"/>
      <c r="K19" s="155"/>
      <c r="L19" s="34"/>
      <c r="M19" s="34"/>
      <c r="N19" s="49">
        <v>44530</v>
      </c>
      <c r="O19" s="41"/>
      <c r="P19" s="50">
        <v>444.8</v>
      </c>
      <c r="Q19" s="51">
        <v>44531</v>
      </c>
      <c r="R19" s="52"/>
      <c r="S19" s="50"/>
      <c r="T19" s="50"/>
      <c r="U19" s="45"/>
      <c r="V19" s="156"/>
      <c r="W19" s="47"/>
      <c r="X19" s="139">
        <v>4</v>
      </c>
    </row>
    <row r="20" spans="1:24" s="139" customFormat="1" x14ac:dyDescent="0.25">
      <c r="A20" s="33"/>
      <c r="B20" s="34"/>
      <c r="C20" s="34"/>
      <c r="D20" s="34"/>
      <c r="E20" s="55"/>
      <c r="F20" s="56"/>
      <c r="G20" s="57"/>
      <c r="H20" s="58"/>
      <c r="I20" s="59"/>
      <c r="J20" s="154"/>
      <c r="K20" s="155"/>
      <c r="L20" s="34"/>
      <c r="M20" s="34"/>
      <c r="N20" s="49"/>
      <c r="O20" s="41"/>
      <c r="P20" s="50">
        <v>444.8</v>
      </c>
      <c r="Q20" s="51"/>
      <c r="R20" s="52"/>
      <c r="S20" s="50"/>
      <c r="T20" s="50"/>
      <c r="U20" s="45"/>
      <c r="V20" s="156"/>
      <c r="W20" s="47"/>
      <c r="X20" s="139">
        <v>4</v>
      </c>
    </row>
    <row r="21" spans="1:24" s="157" customFormat="1" ht="131.25" customHeight="1" x14ac:dyDescent="0.25">
      <c r="A21" s="33">
        <v>2</v>
      </c>
      <c r="B21" s="34"/>
      <c r="C21" s="34"/>
      <c r="D21" s="34" t="s">
        <v>59</v>
      </c>
      <c r="E21" s="55" t="s">
        <v>48</v>
      </c>
      <c r="F21" s="56">
        <v>44190</v>
      </c>
      <c r="G21" s="57" t="s">
        <v>203</v>
      </c>
      <c r="H21" s="58">
        <v>31000</v>
      </c>
      <c r="I21" s="59">
        <f>IF(X21 = 5, H21 + SUM(S21:S32) - SUM(T21:T32) - SUM(P21:P32) - V21,0)</f>
        <v>0</v>
      </c>
      <c r="J21" s="158"/>
      <c r="K21" s="57" t="s">
        <v>204</v>
      </c>
      <c r="L21" s="34"/>
      <c r="M21" s="34" t="s">
        <v>205</v>
      </c>
      <c r="N21" s="40">
        <v>44223</v>
      </c>
      <c r="O21" s="41" t="s">
        <v>80</v>
      </c>
      <c r="P21" s="42">
        <v>3000</v>
      </c>
      <c r="Q21" s="43">
        <v>44231</v>
      </c>
      <c r="R21" s="44"/>
      <c r="S21" s="42"/>
      <c r="T21" s="42"/>
      <c r="U21" s="45"/>
      <c r="V21" s="156"/>
      <c r="W21" s="47"/>
      <c r="X21" s="157">
        <v>5</v>
      </c>
    </row>
    <row r="22" spans="1:24" s="139" customFormat="1" x14ac:dyDescent="0.25">
      <c r="A22" s="33"/>
      <c r="B22" s="34"/>
      <c r="C22" s="34"/>
      <c r="D22" s="34"/>
      <c r="E22" s="55"/>
      <c r="F22" s="56"/>
      <c r="G22" s="57"/>
      <c r="H22" s="58"/>
      <c r="I22" s="59"/>
      <c r="J22" s="159"/>
      <c r="K22" s="57"/>
      <c r="L22" s="34"/>
      <c r="M22" s="34"/>
      <c r="N22" s="49">
        <v>44253</v>
      </c>
      <c r="O22" s="41"/>
      <c r="P22" s="42">
        <v>3000</v>
      </c>
      <c r="Q22" s="51">
        <v>44257</v>
      </c>
      <c r="R22" s="52"/>
      <c r="S22" s="50"/>
      <c r="T22" s="50"/>
      <c r="U22" s="45"/>
      <c r="V22" s="156"/>
      <c r="W22" s="47"/>
      <c r="X22" s="139">
        <v>5</v>
      </c>
    </row>
    <row r="23" spans="1:24" s="139" customFormat="1" x14ac:dyDescent="0.25">
      <c r="A23" s="33"/>
      <c r="B23" s="34"/>
      <c r="C23" s="34"/>
      <c r="D23" s="34"/>
      <c r="E23" s="55"/>
      <c r="F23" s="56"/>
      <c r="G23" s="57"/>
      <c r="H23" s="58"/>
      <c r="I23" s="59"/>
      <c r="J23" s="159"/>
      <c r="K23" s="57"/>
      <c r="L23" s="34"/>
      <c r="M23" s="34"/>
      <c r="N23" s="49">
        <v>44285</v>
      </c>
      <c r="O23" s="41"/>
      <c r="P23" s="42">
        <v>3000</v>
      </c>
      <c r="Q23" s="51">
        <v>44291</v>
      </c>
      <c r="R23" s="52"/>
      <c r="S23" s="50"/>
      <c r="T23" s="50"/>
      <c r="U23" s="45"/>
      <c r="V23" s="156"/>
      <c r="W23" s="47"/>
      <c r="X23" s="139">
        <v>5</v>
      </c>
    </row>
    <row r="24" spans="1:24" s="139" customFormat="1" x14ac:dyDescent="0.25">
      <c r="A24" s="33"/>
      <c r="B24" s="34"/>
      <c r="C24" s="34"/>
      <c r="D24" s="34"/>
      <c r="E24" s="55"/>
      <c r="F24" s="56"/>
      <c r="G24" s="57"/>
      <c r="H24" s="58"/>
      <c r="I24" s="59"/>
      <c r="J24" s="159"/>
      <c r="K24" s="57"/>
      <c r="L24" s="34"/>
      <c r="M24" s="34"/>
      <c r="N24" s="49">
        <v>44313</v>
      </c>
      <c r="O24" s="41"/>
      <c r="P24" s="42">
        <v>3000</v>
      </c>
      <c r="Q24" s="51">
        <v>44329</v>
      </c>
      <c r="R24" s="52"/>
      <c r="S24" s="50"/>
      <c r="T24" s="50"/>
      <c r="U24" s="45"/>
      <c r="V24" s="156"/>
      <c r="W24" s="47"/>
      <c r="X24" s="139">
        <v>5</v>
      </c>
    </row>
    <row r="25" spans="1:24" s="139" customFormat="1" x14ac:dyDescent="0.25">
      <c r="A25" s="33"/>
      <c r="B25" s="34"/>
      <c r="C25" s="34"/>
      <c r="D25" s="34"/>
      <c r="E25" s="55"/>
      <c r="F25" s="56"/>
      <c r="G25" s="57"/>
      <c r="H25" s="58"/>
      <c r="I25" s="59"/>
      <c r="J25" s="159"/>
      <c r="K25" s="57"/>
      <c r="L25" s="34"/>
      <c r="M25" s="34"/>
      <c r="N25" s="49">
        <v>44343</v>
      </c>
      <c r="O25" s="41"/>
      <c r="P25" s="50">
        <v>2000</v>
      </c>
      <c r="Q25" s="51">
        <v>44356</v>
      </c>
      <c r="R25" s="52"/>
      <c r="S25" s="50"/>
      <c r="T25" s="50"/>
      <c r="U25" s="45"/>
      <c r="V25" s="156"/>
      <c r="W25" s="47"/>
      <c r="X25" s="139">
        <v>5</v>
      </c>
    </row>
    <row r="26" spans="1:24" s="139" customFormat="1" x14ac:dyDescent="0.25">
      <c r="A26" s="33"/>
      <c r="B26" s="34"/>
      <c r="C26" s="34"/>
      <c r="D26" s="34"/>
      <c r="E26" s="55"/>
      <c r="F26" s="56"/>
      <c r="G26" s="57"/>
      <c r="H26" s="58"/>
      <c r="I26" s="59"/>
      <c r="J26" s="159"/>
      <c r="K26" s="57"/>
      <c r="L26" s="34"/>
      <c r="M26" s="34"/>
      <c r="N26" s="49">
        <v>44377</v>
      </c>
      <c r="O26" s="41"/>
      <c r="P26" s="50">
        <v>2000</v>
      </c>
      <c r="Q26" s="51">
        <v>44386</v>
      </c>
      <c r="R26" s="52"/>
      <c r="S26" s="50"/>
      <c r="T26" s="50"/>
      <c r="U26" s="45"/>
      <c r="V26" s="156"/>
      <c r="W26" s="47"/>
      <c r="X26" s="139">
        <v>5</v>
      </c>
    </row>
    <row r="27" spans="1:24" s="139" customFormat="1" x14ac:dyDescent="0.25">
      <c r="A27" s="33"/>
      <c r="B27" s="34"/>
      <c r="C27" s="34"/>
      <c r="D27" s="34"/>
      <c r="E27" s="55"/>
      <c r="F27" s="56"/>
      <c r="G27" s="57"/>
      <c r="H27" s="58"/>
      <c r="I27" s="59"/>
      <c r="J27" s="159"/>
      <c r="K27" s="57"/>
      <c r="L27" s="34"/>
      <c r="M27" s="34"/>
      <c r="N27" s="49">
        <v>44407</v>
      </c>
      <c r="O27" s="41"/>
      <c r="P27" s="50">
        <v>2000</v>
      </c>
      <c r="Q27" s="51">
        <v>44417</v>
      </c>
      <c r="R27" s="52"/>
      <c r="S27" s="50"/>
      <c r="T27" s="50"/>
      <c r="U27" s="45"/>
      <c r="V27" s="156"/>
      <c r="W27" s="47"/>
      <c r="X27" s="139">
        <v>5</v>
      </c>
    </row>
    <row r="28" spans="1:24" s="139" customFormat="1" x14ac:dyDescent="0.25">
      <c r="A28" s="33"/>
      <c r="B28" s="34"/>
      <c r="C28" s="34"/>
      <c r="D28" s="34"/>
      <c r="E28" s="55"/>
      <c r="F28" s="56"/>
      <c r="G28" s="57"/>
      <c r="H28" s="58"/>
      <c r="I28" s="59"/>
      <c r="J28" s="159"/>
      <c r="K28" s="57"/>
      <c r="L28" s="34"/>
      <c r="M28" s="34"/>
      <c r="N28" s="49">
        <v>44438</v>
      </c>
      <c r="O28" s="41"/>
      <c r="P28" s="50">
        <v>2000</v>
      </c>
      <c r="Q28" s="51">
        <v>44444</v>
      </c>
      <c r="R28" s="52"/>
      <c r="S28" s="50"/>
      <c r="T28" s="50"/>
      <c r="U28" s="45"/>
      <c r="V28" s="156"/>
      <c r="W28" s="47"/>
      <c r="X28" s="139">
        <v>5</v>
      </c>
    </row>
    <row r="29" spans="1:24" s="139" customFormat="1" x14ac:dyDescent="0.25">
      <c r="A29" s="33"/>
      <c r="B29" s="34"/>
      <c r="C29" s="34"/>
      <c r="D29" s="34"/>
      <c r="E29" s="55"/>
      <c r="F29" s="56"/>
      <c r="G29" s="57"/>
      <c r="H29" s="58"/>
      <c r="I29" s="59"/>
      <c r="J29" s="159"/>
      <c r="K29" s="57"/>
      <c r="L29" s="34"/>
      <c r="M29" s="34"/>
      <c r="N29" s="49">
        <v>44469</v>
      </c>
      <c r="O29" s="41"/>
      <c r="P29" s="50">
        <v>2000</v>
      </c>
      <c r="Q29" s="51">
        <v>44477</v>
      </c>
      <c r="R29" s="52"/>
      <c r="S29" s="50"/>
      <c r="T29" s="50"/>
      <c r="U29" s="45"/>
      <c r="V29" s="156"/>
      <c r="W29" s="47"/>
      <c r="X29" s="139">
        <v>5</v>
      </c>
    </row>
    <row r="30" spans="1:24" s="139" customFormat="1" x14ac:dyDescent="0.25">
      <c r="A30" s="33"/>
      <c r="B30" s="34"/>
      <c r="C30" s="34"/>
      <c r="D30" s="34"/>
      <c r="E30" s="55"/>
      <c r="F30" s="56"/>
      <c r="G30" s="57"/>
      <c r="H30" s="58"/>
      <c r="I30" s="59"/>
      <c r="J30" s="159"/>
      <c r="K30" s="57"/>
      <c r="L30" s="34"/>
      <c r="M30" s="34"/>
      <c r="N30" s="49">
        <v>44494</v>
      </c>
      <c r="O30" s="41"/>
      <c r="P30" s="50">
        <v>3000</v>
      </c>
      <c r="Q30" s="51">
        <v>44509</v>
      </c>
      <c r="R30" s="52"/>
      <c r="S30" s="50"/>
      <c r="T30" s="50"/>
      <c r="U30" s="45"/>
      <c r="V30" s="156"/>
      <c r="W30" s="47"/>
      <c r="X30" s="139">
        <v>5</v>
      </c>
    </row>
    <row r="31" spans="1:24" s="139" customFormat="1" x14ac:dyDescent="0.25">
      <c r="A31" s="33"/>
      <c r="B31" s="34"/>
      <c r="C31" s="34"/>
      <c r="D31" s="34"/>
      <c r="E31" s="55"/>
      <c r="F31" s="56"/>
      <c r="G31" s="57"/>
      <c r="H31" s="58"/>
      <c r="I31" s="59"/>
      <c r="J31" s="159"/>
      <c r="K31" s="57"/>
      <c r="L31" s="34"/>
      <c r="M31" s="34"/>
      <c r="N31" s="49">
        <v>44524</v>
      </c>
      <c r="O31" s="41"/>
      <c r="P31" s="50">
        <v>3000</v>
      </c>
      <c r="Q31" s="51">
        <v>44531</v>
      </c>
      <c r="R31" s="52"/>
      <c r="S31" s="50"/>
      <c r="T31" s="50"/>
      <c r="U31" s="45"/>
      <c r="V31" s="156"/>
      <c r="W31" s="47"/>
      <c r="X31" s="139">
        <v>5</v>
      </c>
    </row>
    <row r="32" spans="1:24" s="139" customFormat="1" x14ac:dyDescent="0.25">
      <c r="A32" s="33"/>
      <c r="B32" s="34"/>
      <c r="C32" s="34"/>
      <c r="D32" s="34"/>
      <c r="E32" s="55"/>
      <c r="F32" s="56"/>
      <c r="G32" s="57"/>
      <c r="H32" s="58"/>
      <c r="I32" s="59"/>
      <c r="J32" s="160"/>
      <c r="K32" s="57"/>
      <c r="L32" s="34"/>
      <c r="M32" s="34"/>
      <c r="N32" s="49">
        <v>44550</v>
      </c>
      <c r="O32" s="41"/>
      <c r="P32" s="50">
        <v>3000</v>
      </c>
      <c r="Q32" s="51">
        <v>44554</v>
      </c>
      <c r="R32" s="52"/>
      <c r="S32" s="50"/>
      <c r="T32" s="50"/>
      <c r="U32" s="45"/>
      <c r="V32" s="156"/>
      <c r="W32" s="47"/>
      <c r="X32" s="139">
        <v>5</v>
      </c>
    </row>
    <row r="33" spans="1:24" s="157" customFormat="1" ht="131.25" customHeight="1" x14ac:dyDescent="0.25">
      <c r="A33" s="33">
        <v>3</v>
      </c>
      <c r="B33" s="34"/>
      <c r="C33" s="34"/>
      <c r="D33" s="34" t="s">
        <v>59</v>
      </c>
      <c r="E33" s="161">
        <v>28</v>
      </c>
      <c r="F33" s="56">
        <v>44188</v>
      </c>
      <c r="G33" s="57" t="s">
        <v>206</v>
      </c>
      <c r="H33" s="58">
        <v>155750.06</v>
      </c>
      <c r="I33" s="59">
        <f>IF(X33 = 6, H33 + SUM(S33:S44) - SUM(T33:T44) - SUM(P33:P44) - V33,0)</f>
        <v>62982.020000000004</v>
      </c>
      <c r="J33" s="154"/>
      <c r="K33" s="57" t="s">
        <v>207</v>
      </c>
      <c r="L33" s="34"/>
      <c r="M33" s="34" t="s">
        <v>208</v>
      </c>
      <c r="N33" s="40">
        <v>44225</v>
      </c>
      <c r="O33" s="41" t="s">
        <v>80</v>
      </c>
      <c r="P33" s="42">
        <v>12921.95</v>
      </c>
      <c r="Q33" s="43">
        <v>44235</v>
      </c>
      <c r="R33" s="44"/>
      <c r="S33" s="42"/>
      <c r="T33" s="42"/>
      <c r="U33" s="45"/>
      <c r="V33" s="156"/>
      <c r="W33" s="47"/>
      <c r="X33" s="157">
        <v>6</v>
      </c>
    </row>
    <row r="34" spans="1:24" s="139" customFormat="1" x14ac:dyDescent="0.25">
      <c r="A34" s="33"/>
      <c r="B34" s="34"/>
      <c r="C34" s="34"/>
      <c r="D34" s="34"/>
      <c r="E34" s="161"/>
      <c r="F34" s="56"/>
      <c r="G34" s="57"/>
      <c r="H34" s="58"/>
      <c r="I34" s="59"/>
      <c r="J34" s="154"/>
      <c r="K34" s="57"/>
      <c r="L34" s="34"/>
      <c r="M34" s="34"/>
      <c r="N34" s="49">
        <v>44286</v>
      </c>
      <c r="O34" s="41"/>
      <c r="P34" s="50">
        <v>15043.47</v>
      </c>
      <c r="Q34" s="51">
        <v>44365</v>
      </c>
      <c r="R34" s="52"/>
      <c r="S34" s="50"/>
      <c r="T34" s="50"/>
      <c r="U34" s="45"/>
      <c r="V34" s="156"/>
      <c r="W34" s="47"/>
      <c r="X34" s="139">
        <v>6</v>
      </c>
    </row>
    <row r="35" spans="1:24" s="139" customFormat="1" x14ac:dyDescent="0.25">
      <c r="A35" s="33"/>
      <c r="B35" s="34"/>
      <c r="C35" s="34"/>
      <c r="D35" s="34"/>
      <c r="E35" s="161"/>
      <c r="F35" s="56"/>
      <c r="G35" s="57"/>
      <c r="H35" s="58"/>
      <c r="I35" s="59"/>
      <c r="J35" s="154"/>
      <c r="K35" s="57"/>
      <c r="L35" s="34"/>
      <c r="M35" s="34"/>
      <c r="N35" s="49"/>
      <c r="O35" s="41"/>
      <c r="P35" s="50"/>
      <c r="Q35" s="51"/>
      <c r="R35" s="52"/>
      <c r="S35" s="50"/>
      <c r="T35" s="50"/>
      <c r="U35" s="45"/>
      <c r="V35" s="156"/>
      <c r="W35" s="47"/>
      <c r="X35" s="139">
        <v>6</v>
      </c>
    </row>
    <row r="36" spans="1:24" s="139" customFormat="1" x14ac:dyDescent="0.25">
      <c r="A36" s="33"/>
      <c r="B36" s="34"/>
      <c r="C36" s="34"/>
      <c r="D36" s="34"/>
      <c r="E36" s="161"/>
      <c r="F36" s="56"/>
      <c r="G36" s="57"/>
      <c r="H36" s="58"/>
      <c r="I36" s="59"/>
      <c r="J36" s="154"/>
      <c r="K36" s="57"/>
      <c r="L36" s="34"/>
      <c r="M36" s="34"/>
      <c r="N36" s="49"/>
      <c r="O36" s="41"/>
      <c r="P36" s="162"/>
      <c r="Q36" s="84"/>
      <c r="R36" s="52"/>
      <c r="S36" s="50"/>
      <c r="T36" s="50"/>
      <c r="U36" s="45"/>
      <c r="V36" s="156"/>
      <c r="W36" s="47"/>
      <c r="X36" s="139">
        <v>6</v>
      </c>
    </row>
    <row r="37" spans="1:24" s="139" customFormat="1" x14ac:dyDescent="0.25">
      <c r="A37" s="33"/>
      <c r="B37" s="34"/>
      <c r="C37" s="34"/>
      <c r="D37" s="34"/>
      <c r="E37" s="161"/>
      <c r="F37" s="56"/>
      <c r="G37" s="57"/>
      <c r="H37" s="58"/>
      <c r="I37" s="59"/>
      <c r="J37" s="154"/>
      <c r="K37" s="57"/>
      <c r="L37" s="34"/>
      <c r="M37" s="34"/>
      <c r="N37" s="49">
        <v>44377</v>
      </c>
      <c r="O37" s="41"/>
      <c r="P37" s="162">
        <v>1735.78</v>
      </c>
      <c r="Q37" s="84">
        <v>44421</v>
      </c>
      <c r="R37" s="52"/>
      <c r="S37" s="50"/>
      <c r="T37" s="50"/>
      <c r="U37" s="45"/>
      <c r="V37" s="156"/>
      <c r="W37" s="47"/>
      <c r="X37" s="139">
        <v>6</v>
      </c>
    </row>
    <row r="38" spans="1:24" s="139" customFormat="1" x14ac:dyDescent="0.25">
      <c r="A38" s="33"/>
      <c r="B38" s="34"/>
      <c r="C38" s="34"/>
      <c r="D38" s="34"/>
      <c r="E38" s="161"/>
      <c r="F38" s="56"/>
      <c r="G38" s="57"/>
      <c r="H38" s="58"/>
      <c r="I38" s="59"/>
      <c r="J38" s="154"/>
      <c r="K38" s="57"/>
      <c r="L38" s="34"/>
      <c r="M38" s="34"/>
      <c r="N38" s="83">
        <v>44407</v>
      </c>
      <c r="O38" s="41"/>
      <c r="P38" s="162">
        <v>6364.54</v>
      </c>
      <c r="Q38" s="84">
        <v>44421</v>
      </c>
      <c r="R38" s="52"/>
      <c r="S38" s="50"/>
      <c r="T38" s="50"/>
      <c r="U38" s="45"/>
      <c r="V38" s="156"/>
      <c r="W38" s="47"/>
      <c r="X38" s="139">
        <v>6</v>
      </c>
    </row>
    <row r="39" spans="1:24" s="139" customFormat="1" x14ac:dyDescent="0.25">
      <c r="A39" s="33"/>
      <c r="B39" s="34"/>
      <c r="C39" s="34"/>
      <c r="D39" s="34"/>
      <c r="E39" s="161"/>
      <c r="F39" s="56"/>
      <c r="G39" s="57"/>
      <c r="H39" s="58"/>
      <c r="I39" s="59"/>
      <c r="J39" s="154"/>
      <c r="K39" s="57"/>
      <c r="L39" s="34"/>
      <c r="M39" s="34"/>
      <c r="N39" s="83">
        <v>44469</v>
      </c>
      <c r="O39" s="41"/>
      <c r="P39" s="162">
        <v>17936.439999999999</v>
      </c>
      <c r="Q39" s="84">
        <v>44484</v>
      </c>
      <c r="R39" s="52"/>
      <c r="S39" s="50"/>
      <c r="T39" s="50"/>
      <c r="U39" s="45"/>
      <c r="V39" s="156"/>
      <c r="W39" s="47"/>
      <c r="X39" s="139">
        <v>6</v>
      </c>
    </row>
    <row r="40" spans="1:24" s="139" customFormat="1" x14ac:dyDescent="0.25">
      <c r="A40" s="33"/>
      <c r="B40" s="34"/>
      <c r="C40" s="34"/>
      <c r="D40" s="34"/>
      <c r="E40" s="161"/>
      <c r="F40" s="56"/>
      <c r="G40" s="57"/>
      <c r="H40" s="58"/>
      <c r="I40" s="59"/>
      <c r="J40" s="154"/>
      <c r="K40" s="57"/>
      <c r="L40" s="34"/>
      <c r="M40" s="34"/>
      <c r="N40" s="49">
        <v>44439</v>
      </c>
      <c r="O40" s="41"/>
      <c r="P40" s="162">
        <v>7521.73</v>
      </c>
      <c r="Q40" s="84">
        <v>44484</v>
      </c>
      <c r="R40" s="52"/>
      <c r="S40" s="50"/>
      <c r="T40" s="50"/>
      <c r="U40" s="45"/>
      <c r="V40" s="156"/>
      <c r="W40" s="47"/>
      <c r="X40" s="139">
        <v>6</v>
      </c>
    </row>
    <row r="41" spans="1:24" s="139" customFormat="1" x14ac:dyDescent="0.25">
      <c r="A41" s="33"/>
      <c r="B41" s="34"/>
      <c r="C41" s="34"/>
      <c r="D41" s="34"/>
      <c r="E41" s="161"/>
      <c r="F41" s="56"/>
      <c r="G41" s="57"/>
      <c r="H41" s="58"/>
      <c r="I41" s="59"/>
      <c r="J41" s="154"/>
      <c r="K41" s="57"/>
      <c r="L41" s="34"/>
      <c r="M41" s="34"/>
      <c r="N41" s="49">
        <v>44498</v>
      </c>
      <c r="O41" s="41"/>
      <c r="P41" s="50">
        <v>16200.66</v>
      </c>
      <c r="Q41" s="51">
        <v>44522</v>
      </c>
      <c r="R41" s="52"/>
      <c r="S41" s="50"/>
      <c r="T41" s="50"/>
      <c r="U41" s="45"/>
      <c r="V41" s="156"/>
      <c r="W41" s="47"/>
      <c r="X41" s="139">
        <v>6</v>
      </c>
    </row>
    <row r="42" spans="1:24" s="139" customFormat="1" x14ac:dyDescent="0.25">
      <c r="A42" s="33"/>
      <c r="B42" s="34"/>
      <c r="C42" s="34"/>
      <c r="D42" s="34"/>
      <c r="E42" s="161"/>
      <c r="F42" s="56"/>
      <c r="G42" s="57"/>
      <c r="H42" s="58"/>
      <c r="I42" s="59"/>
      <c r="J42" s="154"/>
      <c r="K42" s="57"/>
      <c r="L42" s="34"/>
      <c r="M42" s="34"/>
      <c r="N42" s="49">
        <v>44530</v>
      </c>
      <c r="O42" s="41"/>
      <c r="P42" s="50">
        <v>15043.47</v>
      </c>
      <c r="Q42" s="51">
        <v>44544</v>
      </c>
      <c r="R42" s="52"/>
      <c r="S42" s="50"/>
      <c r="T42" s="50"/>
      <c r="U42" s="45"/>
      <c r="V42" s="156"/>
      <c r="W42" s="47"/>
      <c r="X42" s="139">
        <v>6</v>
      </c>
    </row>
    <row r="43" spans="1:24" s="139" customFormat="1" x14ac:dyDescent="0.25">
      <c r="A43" s="33"/>
      <c r="B43" s="34"/>
      <c r="C43" s="34"/>
      <c r="D43" s="34"/>
      <c r="E43" s="161"/>
      <c r="F43" s="56"/>
      <c r="G43" s="57"/>
      <c r="H43" s="58"/>
      <c r="I43" s="59"/>
      <c r="J43" s="154"/>
      <c r="K43" s="57"/>
      <c r="L43" s="34"/>
      <c r="M43" s="34"/>
      <c r="N43" s="49"/>
      <c r="O43" s="41"/>
      <c r="P43" s="50"/>
      <c r="Q43" s="51"/>
      <c r="R43" s="52"/>
      <c r="S43" s="50"/>
      <c r="T43" s="50"/>
      <c r="U43" s="45"/>
      <c r="V43" s="156"/>
      <c r="W43" s="47"/>
      <c r="X43" s="139">
        <v>6</v>
      </c>
    </row>
    <row r="44" spans="1:24" s="139" customFormat="1" x14ac:dyDescent="0.25">
      <c r="A44" s="33"/>
      <c r="B44" s="34"/>
      <c r="C44" s="34"/>
      <c r="D44" s="34"/>
      <c r="E44" s="161"/>
      <c r="F44" s="56"/>
      <c r="G44" s="57"/>
      <c r="H44" s="58"/>
      <c r="I44" s="59"/>
      <c r="J44" s="154"/>
      <c r="K44" s="57"/>
      <c r="L44" s="34"/>
      <c r="M44" s="34"/>
      <c r="N44" s="49"/>
      <c r="O44" s="41"/>
      <c r="P44" s="50"/>
      <c r="Q44" s="51"/>
      <c r="R44" s="52"/>
      <c r="S44" s="50"/>
      <c r="T44" s="50"/>
      <c r="U44" s="45"/>
      <c r="V44" s="156"/>
      <c r="W44" s="47"/>
      <c r="X44" s="139">
        <v>6</v>
      </c>
    </row>
    <row r="45" spans="1:24" s="157" customFormat="1" ht="131.25" customHeight="1" x14ac:dyDescent="0.25">
      <c r="A45" s="33">
        <v>4</v>
      </c>
      <c r="B45" s="34"/>
      <c r="C45" s="34"/>
      <c r="D45" s="34" t="s">
        <v>59</v>
      </c>
      <c r="E45" s="55" t="s">
        <v>26</v>
      </c>
      <c r="F45" s="56">
        <v>44190</v>
      </c>
      <c r="G45" s="57" t="s">
        <v>209</v>
      </c>
      <c r="H45" s="58">
        <f>147795.24</f>
        <v>147795.24</v>
      </c>
      <c r="I45" s="59">
        <f>IF(X45 = 7, H45 + SUM(S45:S47) - SUM(T45:T47) - SUM(P45:P47) - V45,0)</f>
        <v>-1.4551915228366852E-11</v>
      </c>
      <c r="J45" s="154"/>
      <c r="K45" s="57" t="s">
        <v>210</v>
      </c>
      <c r="L45" s="34"/>
      <c r="M45" s="34" t="s">
        <v>202</v>
      </c>
      <c r="N45" s="40">
        <v>44227</v>
      </c>
      <c r="O45" s="41" t="s">
        <v>80</v>
      </c>
      <c r="P45" s="42">
        <v>12316.27</v>
      </c>
      <c r="Q45" s="43">
        <v>44238</v>
      </c>
      <c r="R45" s="44"/>
      <c r="S45" s="42"/>
      <c r="T45" s="42"/>
      <c r="U45" s="45" t="s">
        <v>211</v>
      </c>
      <c r="V45" s="156">
        <v>123162.7</v>
      </c>
      <c r="W45" s="47"/>
      <c r="X45" s="157">
        <v>7</v>
      </c>
    </row>
    <row r="46" spans="1:24" s="139" customFormat="1" x14ac:dyDescent="0.25">
      <c r="A46" s="33"/>
      <c r="B46" s="34"/>
      <c r="C46" s="34"/>
      <c r="D46" s="34"/>
      <c r="E46" s="55"/>
      <c r="F46" s="56"/>
      <c r="G46" s="57"/>
      <c r="H46" s="58"/>
      <c r="I46" s="59"/>
      <c r="J46" s="154"/>
      <c r="K46" s="57"/>
      <c r="L46" s="34"/>
      <c r="M46" s="34"/>
      <c r="N46" s="49">
        <v>44255</v>
      </c>
      <c r="O46" s="41"/>
      <c r="P46" s="50">
        <v>12316.27</v>
      </c>
      <c r="Q46" s="51">
        <v>44255</v>
      </c>
      <c r="R46" s="52"/>
      <c r="S46" s="50"/>
      <c r="T46" s="50"/>
      <c r="U46" s="45"/>
      <c r="V46" s="156"/>
      <c r="W46" s="47"/>
      <c r="X46" s="139">
        <v>7</v>
      </c>
    </row>
    <row r="47" spans="1:24" s="139" customFormat="1" x14ac:dyDescent="0.25">
      <c r="A47" s="33"/>
      <c r="B47" s="34"/>
      <c r="C47" s="34"/>
      <c r="D47" s="34"/>
      <c r="E47" s="55"/>
      <c r="F47" s="56"/>
      <c r="G47" s="57"/>
      <c r="H47" s="58"/>
      <c r="I47" s="59"/>
      <c r="J47" s="154"/>
      <c r="K47" s="57"/>
      <c r="L47" s="34"/>
      <c r="M47" s="34"/>
      <c r="N47" s="49"/>
      <c r="O47" s="41"/>
      <c r="P47" s="50"/>
      <c r="Q47" s="51"/>
      <c r="R47" s="52"/>
      <c r="S47" s="50"/>
      <c r="T47" s="50"/>
      <c r="U47" s="45"/>
      <c r="V47" s="156"/>
      <c r="W47" s="47"/>
      <c r="X47" s="139">
        <v>7</v>
      </c>
    </row>
    <row r="48" spans="1:24" s="157" customFormat="1" ht="131.25" customHeight="1" x14ac:dyDescent="0.25">
      <c r="A48" s="33">
        <v>5</v>
      </c>
      <c r="B48" s="34"/>
      <c r="C48" s="34"/>
      <c r="D48" s="34" t="s">
        <v>59</v>
      </c>
      <c r="E48" s="55" t="s">
        <v>212</v>
      </c>
      <c r="F48" s="56">
        <v>44190</v>
      </c>
      <c r="G48" s="57" t="s">
        <v>213</v>
      </c>
      <c r="H48" s="58">
        <v>15600</v>
      </c>
      <c r="I48" s="59">
        <f>IF(X48 = 8, H48 + SUM(S48:S61) - SUM(T48:T61) - SUM(P48:P61) - V48,0)</f>
        <v>2245.3500000000004</v>
      </c>
      <c r="J48" s="154"/>
      <c r="K48" s="57" t="s">
        <v>210</v>
      </c>
      <c r="L48" s="34"/>
      <c r="M48" s="34" t="s">
        <v>202</v>
      </c>
      <c r="N48" s="40">
        <v>44227</v>
      </c>
      <c r="O48" s="41" t="s">
        <v>80</v>
      </c>
      <c r="P48" s="42">
        <v>1170.48</v>
      </c>
      <c r="Q48" s="43">
        <v>44238</v>
      </c>
      <c r="R48" s="44"/>
      <c r="S48" s="42"/>
      <c r="T48" s="42"/>
      <c r="U48" s="45"/>
      <c r="V48" s="156"/>
      <c r="W48" s="47"/>
      <c r="X48" s="157">
        <v>8</v>
      </c>
    </row>
    <row r="49" spans="1:24" s="139" customFormat="1" x14ac:dyDescent="0.25">
      <c r="A49" s="33"/>
      <c r="B49" s="34"/>
      <c r="C49" s="34"/>
      <c r="D49" s="34"/>
      <c r="E49" s="55"/>
      <c r="F49" s="56"/>
      <c r="G49" s="57"/>
      <c r="H49" s="58"/>
      <c r="I49" s="59"/>
      <c r="J49" s="154"/>
      <c r="K49" s="57"/>
      <c r="L49" s="34"/>
      <c r="M49" s="34"/>
      <c r="N49" s="49">
        <v>44255</v>
      </c>
      <c r="O49" s="41"/>
      <c r="P49" s="50">
        <v>1210.3900000000001</v>
      </c>
      <c r="Q49" s="51">
        <v>44265</v>
      </c>
      <c r="R49" s="52"/>
      <c r="S49" s="50"/>
      <c r="T49" s="50"/>
      <c r="U49" s="45"/>
      <c r="V49" s="156"/>
      <c r="W49" s="47"/>
      <c r="X49" s="139">
        <v>8</v>
      </c>
    </row>
    <row r="50" spans="1:24" s="139" customFormat="1" x14ac:dyDescent="0.25">
      <c r="A50" s="33"/>
      <c r="B50" s="34"/>
      <c r="C50" s="34"/>
      <c r="D50" s="34"/>
      <c r="E50" s="55"/>
      <c r="F50" s="56"/>
      <c r="G50" s="57"/>
      <c r="H50" s="58"/>
      <c r="I50" s="59"/>
      <c r="J50" s="154"/>
      <c r="K50" s="57"/>
      <c r="L50" s="34"/>
      <c r="M50" s="34"/>
      <c r="N50" s="49">
        <v>44286</v>
      </c>
      <c r="O50" s="41"/>
      <c r="P50" s="50">
        <v>1188.74</v>
      </c>
      <c r="Q50" s="51">
        <v>44294</v>
      </c>
      <c r="R50" s="52"/>
      <c r="S50" s="50"/>
      <c r="T50" s="50"/>
      <c r="U50" s="45"/>
      <c r="V50" s="156"/>
      <c r="W50" s="47"/>
      <c r="X50" s="139">
        <v>8</v>
      </c>
    </row>
    <row r="51" spans="1:24" s="139" customFormat="1" x14ac:dyDescent="0.25">
      <c r="A51" s="33"/>
      <c r="B51" s="34"/>
      <c r="C51" s="34"/>
      <c r="D51" s="34"/>
      <c r="E51" s="55"/>
      <c r="F51" s="56"/>
      <c r="G51" s="57"/>
      <c r="H51" s="58"/>
      <c r="I51" s="59"/>
      <c r="J51" s="154"/>
      <c r="K51" s="57"/>
      <c r="L51" s="34"/>
      <c r="M51" s="34"/>
      <c r="N51" s="49">
        <v>44316</v>
      </c>
      <c r="O51" s="41"/>
      <c r="P51" s="50">
        <v>1218.6199999999999</v>
      </c>
      <c r="Q51" s="51">
        <v>44330</v>
      </c>
      <c r="R51" s="52"/>
      <c r="S51" s="50"/>
      <c r="T51" s="50"/>
      <c r="U51" s="45"/>
      <c r="V51" s="156"/>
      <c r="W51" s="47"/>
      <c r="X51" s="139">
        <v>8</v>
      </c>
    </row>
    <row r="52" spans="1:24" s="139" customFormat="1" x14ac:dyDescent="0.25">
      <c r="A52" s="33"/>
      <c r="B52" s="34"/>
      <c r="C52" s="34"/>
      <c r="D52" s="34"/>
      <c r="E52" s="55"/>
      <c r="F52" s="56"/>
      <c r="G52" s="57"/>
      <c r="H52" s="58"/>
      <c r="I52" s="59"/>
      <c r="J52" s="154"/>
      <c r="K52" s="57"/>
      <c r="L52" s="34"/>
      <c r="M52" s="34"/>
      <c r="N52" s="49">
        <v>44347</v>
      </c>
      <c r="O52" s="41"/>
      <c r="P52" s="50">
        <v>1195.92</v>
      </c>
      <c r="Q52" s="51">
        <v>44365</v>
      </c>
      <c r="R52" s="52"/>
      <c r="S52" s="50"/>
      <c r="T52" s="50"/>
      <c r="U52" s="45"/>
      <c r="V52" s="156"/>
      <c r="W52" s="47"/>
      <c r="X52" s="139">
        <v>8</v>
      </c>
    </row>
    <row r="53" spans="1:24" s="139" customFormat="1" x14ac:dyDescent="0.25">
      <c r="A53" s="33"/>
      <c r="B53" s="34"/>
      <c r="C53" s="34"/>
      <c r="D53" s="34"/>
      <c r="E53" s="55"/>
      <c r="F53" s="56"/>
      <c r="G53" s="57"/>
      <c r="H53" s="58"/>
      <c r="I53" s="59"/>
      <c r="J53" s="154"/>
      <c r="K53" s="57"/>
      <c r="L53" s="34"/>
      <c r="M53" s="34"/>
      <c r="N53" s="49">
        <v>44377</v>
      </c>
      <c r="O53" s="41"/>
      <c r="P53" s="50">
        <v>1315.42</v>
      </c>
      <c r="Q53" s="51">
        <v>44396</v>
      </c>
      <c r="R53" s="52"/>
      <c r="S53" s="50"/>
      <c r="T53" s="50"/>
      <c r="U53" s="45"/>
      <c r="V53" s="156"/>
      <c r="W53" s="47"/>
      <c r="X53" s="139">
        <v>8</v>
      </c>
    </row>
    <row r="54" spans="1:24" s="139" customFormat="1" x14ac:dyDescent="0.25">
      <c r="A54" s="33"/>
      <c r="B54" s="34"/>
      <c r="C54" s="34"/>
      <c r="D54" s="34"/>
      <c r="E54" s="55"/>
      <c r="F54" s="56"/>
      <c r="G54" s="57"/>
      <c r="H54" s="58"/>
      <c r="I54" s="59"/>
      <c r="J54" s="154"/>
      <c r="K54" s="57"/>
      <c r="L54" s="34"/>
      <c r="M54" s="34"/>
      <c r="N54" s="49">
        <v>44408</v>
      </c>
      <c r="O54" s="41"/>
      <c r="P54" s="50">
        <v>1168.24</v>
      </c>
      <c r="Q54" s="51">
        <v>44421</v>
      </c>
      <c r="R54" s="52"/>
      <c r="S54" s="50"/>
      <c r="T54" s="50"/>
      <c r="U54" s="45"/>
      <c r="V54" s="156"/>
      <c r="W54" s="47"/>
      <c r="X54" s="139">
        <v>8</v>
      </c>
    </row>
    <row r="55" spans="1:24" s="139" customFormat="1" x14ac:dyDescent="0.25">
      <c r="A55" s="33"/>
      <c r="B55" s="34"/>
      <c r="C55" s="34"/>
      <c r="D55" s="34"/>
      <c r="E55" s="55"/>
      <c r="F55" s="56"/>
      <c r="G55" s="57"/>
      <c r="H55" s="58"/>
      <c r="I55" s="59"/>
      <c r="J55" s="154"/>
      <c r="K55" s="57"/>
      <c r="L55" s="34"/>
      <c r="M55" s="34"/>
      <c r="N55" s="49">
        <v>44377</v>
      </c>
      <c r="O55" s="41"/>
      <c r="P55" s="50">
        <v>1315.42</v>
      </c>
      <c r="Q55" s="51" t="s">
        <v>214</v>
      </c>
      <c r="R55" s="52"/>
      <c r="S55" s="50"/>
      <c r="T55" s="50"/>
      <c r="U55" s="45"/>
      <c r="V55" s="156"/>
      <c r="W55" s="47"/>
      <c r="X55" s="139">
        <v>8</v>
      </c>
    </row>
    <row r="56" spans="1:24" s="139" customFormat="1" x14ac:dyDescent="0.25">
      <c r="A56" s="33"/>
      <c r="B56" s="34"/>
      <c r="C56" s="34"/>
      <c r="D56" s="34"/>
      <c r="E56" s="55"/>
      <c r="F56" s="56"/>
      <c r="G56" s="57"/>
      <c r="H56" s="58"/>
      <c r="I56" s="59"/>
      <c r="J56" s="154"/>
      <c r="K56" s="57"/>
      <c r="L56" s="34"/>
      <c r="M56" s="34"/>
      <c r="N56" s="49">
        <v>44469</v>
      </c>
      <c r="O56" s="41"/>
      <c r="P56" s="50">
        <v>1191.5899999999999</v>
      </c>
      <c r="Q56" s="51">
        <v>44484</v>
      </c>
      <c r="R56" s="52"/>
      <c r="S56" s="50"/>
      <c r="T56" s="50"/>
      <c r="U56" s="45"/>
      <c r="V56" s="156"/>
      <c r="W56" s="47"/>
      <c r="X56" s="139">
        <v>8</v>
      </c>
    </row>
    <row r="57" spans="1:24" s="139" customFormat="1" x14ac:dyDescent="0.25">
      <c r="A57" s="33"/>
      <c r="B57" s="34"/>
      <c r="C57" s="34"/>
      <c r="D57" s="34"/>
      <c r="E57" s="55"/>
      <c r="F57" s="56"/>
      <c r="G57" s="57"/>
      <c r="H57" s="58"/>
      <c r="I57" s="59"/>
      <c r="J57" s="154"/>
      <c r="K57" s="57"/>
      <c r="L57" s="34"/>
      <c r="M57" s="34"/>
      <c r="N57" s="49">
        <v>44500</v>
      </c>
      <c r="O57" s="41"/>
      <c r="P57" s="50">
        <v>1192.99</v>
      </c>
      <c r="Q57" s="51">
        <v>44522</v>
      </c>
      <c r="R57" s="52"/>
      <c r="S57" s="50"/>
      <c r="T57" s="50"/>
      <c r="U57" s="45"/>
      <c r="V57" s="156"/>
      <c r="W57" s="47"/>
      <c r="X57" s="139">
        <v>8</v>
      </c>
    </row>
    <row r="58" spans="1:24" s="139" customFormat="1" x14ac:dyDescent="0.25">
      <c r="A58" s="33"/>
      <c r="B58" s="34"/>
      <c r="C58" s="34"/>
      <c r="D58" s="34"/>
      <c r="E58" s="55"/>
      <c r="F58" s="56"/>
      <c r="G58" s="57"/>
      <c r="H58" s="58"/>
      <c r="I58" s="59"/>
      <c r="J58" s="154"/>
      <c r="K58" s="57"/>
      <c r="L58" s="34"/>
      <c r="M58" s="34"/>
      <c r="N58" s="49">
        <v>44530</v>
      </c>
      <c r="O58" s="41"/>
      <c r="P58" s="50">
        <v>1186.8399999999999</v>
      </c>
      <c r="Q58" s="51">
        <v>44551</v>
      </c>
      <c r="R58" s="52"/>
      <c r="S58" s="50"/>
      <c r="T58" s="50"/>
      <c r="U58" s="45"/>
      <c r="V58" s="156"/>
      <c r="W58" s="47"/>
      <c r="X58" s="139">
        <v>8</v>
      </c>
    </row>
    <row r="59" spans="1:24" s="139" customFormat="1" x14ac:dyDescent="0.25">
      <c r="A59" s="33"/>
      <c r="B59" s="34"/>
      <c r="C59" s="34"/>
      <c r="D59" s="34"/>
      <c r="E59" s="55"/>
      <c r="F59" s="56"/>
      <c r="G59" s="57"/>
      <c r="H59" s="58"/>
      <c r="I59" s="59"/>
      <c r="J59" s="154"/>
      <c r="K59" s="57"/>
      <c r="L59" s="34"/>
      <c r="M59" s="34"/>
      <c r="N59" s="49"/>
      <c r="O59" s="41"/>
      <c r="P59" s="50"/>
      <c r="Q59" s="51"/>
      <c r="R59" s="52"/>
      <c r="S59" s="50"/>
      <c r="T59" s="50"/>
      <c r="U59" s="45"/>
      <c r="V59" s="156"/>
      <c r="W59" s="47"/>
      <c r="X59" s="139">
        <v>8</v>
      </c>
    </row>
    <row r="60" spans="1:24" s="139" customFormat="1" x14ac:dyDescent="0.25">
      <c r="A60" s="33"/>
      <c r="B60" s="34"/>
      <c r="C60" s="34"/>
      <c r="D60" s="34"/>
      <c r="E60" s="55"/>
      <c r="F60" s="56"/>
      <c r="G60" s="57"/>
      <c r="H60" s="58"/>
      <c r="I60" s="59"/>
      <c r="J60" s="154"/>
      <c r="K60" s="57"/>
      <c r="L60" s="34"/>
      <c r="M60" s="34"/>
      <c r="N60" s="49"/>
      <c r="O60" s="41"/>
      <c r="P60" s="50"/>
      <c r="Q60" s="51"/>
      <c r="R60" s="52"/>
      <c r="S60" s="50"/>
      <c r="T60" s="50"/>
      <c r="U60" s="45"/>
      <c r="V60" s="156"/>
      <c r="W60" s="47"/>
      <c r="X60" s="139">
        <v>8</v>
      </c>
    </row>
    <row r="61" spans="1:24" s="139" customFormat="1" x14ac:dyDescent="0.25">
      <c r="A61" s="33"/>
      <c r="B61" s="34"/>
      <c r="C61" s="34"/>
      <c r="D61" s="34"/>
      <c r="E61" s="55"/>
      <c r="F61" s="56"/>
      <c r="G61" s="57"/>
      <c r="H61" s="58"/>
      <c r="I61" s="59"/>
      <c r="J61" s="154"/>
      <c r="K61" s="57"/>
      <c r="L61" s="34"/>
      <c r="M61" s="34"/>
      <c r="N61" s="49"/>
      <c r="O61" s="41"/>
      <c r="P61" s="50"/>
      <c r="Q61" s="51"/>
      <c r="R61" s="52"/>
      <c r="S61" s="50"/>
      <c r="T61" s="50"/>
      <c r="U61" s="45"/>
      <c r="V61" s="156"/>
      <c r="W61" s="47"/>
      <c r="X61" s="139">
        <v>8</v>
      </c>
    </row>
    <row r="62" spans="1:24" s="157" customFormat="1" ht="131.25" customHeight="1" x14ac:dyDescent="0.25">
      <c r="A62" s="33">
        <v>6</v>
      </c>
      <c r="B62" s="34"/>
      <c r="C62" s="34"/>
      <c r="D62" s="34" t="s">
        <v>59</v>
      </c>
      <c r="E62" s="55" t="s">
        <v>215</v>
      </c>
      <c r="F62" s="56">
        <v>44190</v>
      </c>
      <c r="G62" s="57" t="s">
        <v>216</v>
      </c>
      <c r="H62" s="58">
        <v>3000</v>
      </c>
      <c r="I62" s="59">
        <f>IF(X62 = 9, H62 + SUM(S62:S67) - SUM(T62:T67) - SUM(P62:P67) - V62,0)</f>
        <v>2638.78</v>
      </c>
      <c r="J62" s="154"/>
      <c r="K62" s="57" t="s">
        <v>210</v>
      </c>
      <c r="L62" s="34"/>
      <c r="M62" s="34" t="s">
        <v>217</v>
      </c>
      <c r="N62" s="40">
        <v>44286</v>
      </c>
      <c r="O62" s="41" t="s">
        <v>80</v>
      </c>
      <c r="P62" s="42">
        <v>53.04</v>
      </c>
      <c r="Q62" s="43">
        <v>44294</v>
      </c>
      <c r="R62" s="44"/>
      <c r="S62" s="42"/>
      <c r="T62" s="42"/>
      <c r="U62" s="45"/>
      <c r="V62" s="156"/>
      <c r="W62" s="47"/>
      <c r="X62" s="157">
        <v>9</v>
      </c>
    </row>
    <row r="63" spans="1:24" s="139" customFormat="1" x14ac:dyDescent="0.25">
      <c r="A63" s="33"/>
      <c r="B63" s="34"/>
      <c r="C63" s="34"/>
      <c r="D63" s="34"/>
      <c r="E63" s="55"/>
      <c r="F63" s="56"/>
      <c r="G63" s="57"/>
      <c r="H63" s="58"/>
      <c r="I63" s="59"/>
      <c r="J63" s="154"/>
      <c r="K63" s="57"/>
      <c r="L63" s="34"/>
      <c r="M63" s="34"/>
      <c r="N63" s="49">
        <v>44316</v>
      </c>
      <c r="O63" s="41"/>
      <c r="P63" s="50">
        <v>68.95</v>
      </c>
      <c r="Q63" s="51">
        <v>44330</v>
      </c>
      <c r="R63" s="52"/>
      <c r="S63" s="50"/>
      <c r="T63" s="50"/>
      <c r="U63" s="45"/>
      <c r="V63" s="156"/>
      <c r="W63" s="47"/>
      <c r="X63" s="139">
        <v>9</v>
      </c>
    </row>
    <row r="64" spans="1:24" s="139" customFormat="1" x14ac:dyDescent="0.25">
      <c r="A64" s="33"/>
      <c r="B64" s="34"/>
      <c r="C64" s="34"/>
      <c r="D64" s="34"/>
      <c r="E64" s="55"/>
      <c r="F64" s="56"/>
      <c r="G64" s="57"/>
      <c r="H64" s="58"/>
      <c r="I64" s="59"/>
      <c r="J64" s="154"/>
      <c r="K64" s="57"/>
      <c r="L64" s="34"/>
      <c r="M64" s="34"/>
      <c r="N64" s="49">
        <v>44469</v>
      </c>
      <c r="O64" s="41"/>
      <c r="P64" s="50">
        <v>140.16</v>
      </c>
      <c r="Q64" s="51">
        <v>44484</v>
      </c>
      <c r="R64" s="52"/>
      <c r="S64" s="50"/>
      <c r="T64" s="50"/>
      <c r="U64" s="45"/>
      <c r="V64" s="156"/>
      <c r="W64" s="47"/>
      <c r="X64" s="139">
        <v>9</v>
      </c>
    </row>
    <row r="65" spans="1:24" s="139" customFormat="1" x14ac:dyDescent="0.25">
      <c r="A65" s="33"/>
      <c r="B65" s="34"/>
      <c r="C65" s="34"/>
      <c r="D65" s="34"/>
      <c r="E65" s="55"/>
      <c r="F65" s="56"/>
      <c r="G65" s="57"/>
      <c r="H65" s="58"/>
      <c r="I65" s="59"/>
      <c r="J65" s="154"/>
      <c r="K65" s="57"/>
      <c r="L65" s="34"/>
      <c r="M65" s="34"/>
      <c r="N65" s="49">
        <v>44500</v>
      </c>
      <c r="O65" s="41"/>
      <c r="P65" s="50">
        <v>99.07</v>
      </c>
      <c r="Q65" s="51">
        <v>44522</v>
      </c>
      <c r="R65" s="52"/>
      <c r="S65" s="50"/>
      <c r="T65" s="50"/>
      <c r="U65" s="45"/>
      <c r="V65" s="156"/>
      <c r="W65" s="47"/>
      <c r="X65" s="139">
        <v>9</v>
      </c>
    </row>
    <row r="66" spans="1:24" s="139" customFormat="1" x14ac:dyDescent="0.25">
      <c r="A66" s="33"/>
      <c r="B66" s="34"/>
      <c r="C66" s="34"/>
      <c r="D66" s="34"/>
      <c r="E66" s="55"/>
      <c r="F66" s="56"/>
      <c r="G66" s="57"/>
      <c r="H66" s="58"/>
      <c r="I66" s="59"/>
      <c r="J66" s="154"/>
      <c r="K66" s="57"/>
      <c r="L66" s="34"/>
      <c r="M66" s="34"/>
      <c r="N66" s="49"/>
      <c r="O66" s="41"/>
      <c r="P66" s="50"/>
      <c r="Q66" s="51"/>
      <c r="R66" s="52"/>
      <c r="S66" s="50"/>
      <c r="T66" s="50"/>
      <c r="U66" s="45"/>
      <c r="V66" s="156"/>
      <c r="W66" s="47"/>
      <c r="X66" s="139">
        <v>9</v>
      </c>
    </row>
    <row r="67" spans="1:24" s="139" customFormat="1" x14ac:dyDescent="0.25">
      <c r="A67" s="33"/>
      <c r="B67" s="34"/>
      <c r="C67" s="34"/>
      <c r="D67" s="34"/>
      <c r="E67" s="55"/>
      <c r="F67" s="56"/>
      <c r="G67" s="57"/>
      <c r="H67" s="58"/>
      <c r="I67" s="59"/>
      <c r="J67" s="154"/>
      <c r="K67" s="57"/>
      <c r="L67" s="34"/>
      <c r="M67" s="34"/>
      <c r="N67" s="49"/>
      <c r="O67" s="41"/>
      <c r="P67" s="50"/>
      <c r="Q67" s="51"/>
      <c r="R67" s="52"/>
      <c r="S67" s="50"/>
      <c r="T67" s="50"/>
      <c r="U67" s="45"/>
      <c r="V67" s="156"/>
      <c r="W67" s="47"/>
      <c r="X67" s="139">
        <v>9</v>
      </c>
    </row>
    <row r="68" spans="1:24" s="157" customFormat="1" ht="131.25" customHeight="1" x14ac:dyDescent="0.25">
      <c r="A68" s="33">
        <v>7</v>
      </c>
      <c r="B68" s="34"/>
      <c r="C68" s="34"/>
      <c r="D68" s="34" t="s">
        <v>59</v>
      </c>
      <c r="E68" s="55" t="s">
        <v>218</v>
      </c>
      <c r="F68" s="56">
        <v>44190</v>
      </c>
      <c r="G68" s="57" t="s">
        <v>219</v>
      </c>
      <c r="H68" s="58">
        <v>19200</v>
      </c>
      <c r="I68" s="59">
        <f>IF(X68 = 10, H68 + SUM(S68:S79) - SUM(T68:T79) - SUM(P68:P79) - V68,0)</f>
        <v>0</v>
      </c>
      <c r="J68" s="154"/>
      <c r="K68" s="57" t="s">
        <v>210</v>
      </c>
      <c r="L68" s="34"/>
      <c r="M68" s="34"/>
      <c r="N68" s="40">
        <v>44227</v>
      </c>
      <c r="O68" s="41" t="s">
        <v>80</v>
      </c>
      <c r="P68" s="42">
        <v>1600</v>
      </c>
      <c r="Q68" s="43">
        <v>44238</v>
      </c>
      <c r="R68" s="44"/>
      <c r="S68" s="42"/>
      <c r="T68" s="42"/>
      <c r="U68" s="45"/>
      <c r="V68" s="156"/>
      <c r="W68" s="47"/>
      <c r="X68" s="157">
        <v>10</v>
      </c>
    </row>
    <row r="69" spans="1:24" s="139" customFormat="1" x14ac:dyDescent="0.25">
      <c r="A69" s="33"/>
      <c r="B69" s="34"/>
      <c r="C69" s="34"/>
      <c r="D69" s="34"/>
      <c r="E69" s="55"/>
      <c r="F69" s="56"/>
      <c r="G69" s="57"/>
      <c r="H69" s="58"/>
      <c r="I69" s="59"/>
      <c r="J69" s="154"/>
      <c r="K69" s="57"/>
      <c r="L69" s="34"/>
      <c r="M69" s="34"/>
      <c r="N69" s="49">
        <v>44255</v>
      </c>
      <c r="O69" s="41"/>
      <c r="P69" s="50">
        <v>1600</v>
      </c>
      <c r="Q69" s="51">
        <v>44265</v>
      </c>
      <c r="R69" s="52"/>
      <c r="S69" s="50"/>
      <c r="T69" s="50"/>
      <c r="U69" s="45"/>
      <c r="V69" s="156"/>
      <c r="W69" s="47"/>
      <c r="X69" s="139">
        <v>10</v>
      </c>
    </row>
    <row r="70" spans="1:24" s="139" customFormat="1" x14ac:dyDescent="0.25">
      <c r="A70" s="33"/>
      <c r="B70" s="34"/>
      <c r="C70" s="34"/>
      <c r="D70" s="34"/>
      <c r="E70" s="55"/>
      <c r="F70" s="56"/>
      <c r="G70" s="57"/>
      <c r="H70" s="58"/>
      <c r="I70" s="59"/>
      <c r="J70" s="154"/>
      <c r="K70" s="57"/>
      <c r="L70" s="34"/>
      <c r="M70" s="34"/>
      <c r="N70" s="49">
        <v>44286</v>
      </c>
      <c r="O70" s="41"/>
      <c r="P70" s="50">
        <v>1600</v>
      </c>
      <c r="Q70" s="51">
        <v>44294</v>
      </c>
      <c r="R70" s="52"/>
      <c r="S70" s="50"/>
      <c r="T70" s="50"/>
      <c r="U70" s="45"/>
      <c r="V70" s="156"/>
      <c r="W70" s="47"/>
      <c r="X70" s="139">
        <v>10</v>
      </c>
    </row>
    <row r="71" spans="1:24" s="139" customFormat="1" x14ac:dyDescent="0.25">
      <c r="A71" s="33"/>
      <c r="B71" s="34"/>
      <c r="C71" s="34"/>
      <c r="D71" s="34"/>
      <c r="E71" s="55"/>
      <c r="F71" s="56"/>
      <c r="G71" s="57"/>
      <c r="H71" s="58"/>
      <c r="I71" s="59"/>
      <c r="J71" s="154"/>
      <c r="K71" s="57"/>
      <c r="L71" s="34"/>
      <c r="M71" s="34"/>
      <c r="N71" s="49">
        <v>44316</v>
      </c>
      <c r="O71" s="41"/>
      <c r="P71" s="50">
        <v>1600</v>
      </c>
      <c r="Q71" s="51">
        <v>44330</v>
      </c>
      <c r="R71" s="52"/>
      <c r="S71" s="50"/>
      <c r="T71" s="50"/>
      <c r="U71" s="45"/>
      <c r="V71" s="156"/>
      <c r="W71" s="47"/>
      <c r="X71" s="139">
        <v>10</v>
      </c>
    </row>
    <row r="72" spans="1:24" s="139" customFormat="1" x14ac:dyDescent="0.25">
      <c r="A72" s="33"/>
      <c r="B72" s="34"/>
      <c r="C72" s="34"/>
      <c r="D72" s="34"/>
      <c r="E72" s="55"/>
      <c r="F72" s="56"/>
      <c r="G72" s="57"/>
      <c r="H72" s="58"/>
      <c r="I72" s="59"/>
      <c r="J72" s="154"/>
      <c r="K72" s="57"/>
      <c r="L72" s="34"/>
      <c r="M72" s="34"/>
      <c r="N72" s="49">
        <v>44347</v>
      </c>
      <c r="O72" s="41"/>
      <c r="P72" s="50">
        <v>1600</v>
      </c>
      <c r="Q72" s="51">
        <v>44365</v>
      </c>
      <c r="R72" s="52"/>
      <c r="S72" s="50"/>
      <c r="T72" s="50"/>
      <c r="U72" s="45"/>
      <c r="V72" s="156"/>
      <c r="W72" s="47"/>
      <c r="X72" s="139">
        <v>10</v>
      </c>
    </row>
    <row r="73" spans="1:24" s="139" customFormat="1" x14ac:dyDescent="0.25">
      <c r="A73" s="33"/>
      <c r="B73" s="34"/>
      <c r="C73" s="34"/>
      <c r="D73" s="34"/>
      <c r="E73" s="55"/>
      <c r="F73" s="56"/>
      <c r="G73" s="57"/>
      <c r="H73" s="58"/>
      <c r="I73" s="59"/>
      <c r="J73" s="154"/>
      <c r="K73" s="57"/>
      <c r="L73" s="34"/>
      <c r="M73" s="34"/>
      <c r="N73" s="49">
        <v>44408</v>
      </c>
      <c r="O73" s="41"/>
      <c r="P73" s="50">
        <v>1600</v>
      </c>
      <c r="Q73" s="51">
        <v>44421</v>
      </c>
      <c r="R73" s="52"/>
      <c r="S73" s="50"/>
      <c r="T73" s="50"/>
      <c r="U73" s="45"/>
      <c r="V73" s="156"/>
      <c r="W73" s="47"/>
      <c r="X73" s="139">
        <v>10</v>
      </c>
    </row>
    <row r="74" spans="1:24" s="139" customFormat="1" x14ac:dyDescent="0.25">
      <c r="A74" s="33"/>
      <c r="B74" s="34"/>
      <c r="C74" s="34"/>
      <c r="D74" s="34"/>
      <c r="E74" s="55"/>
      <c r="F74" s="56"/>
      <c r="G74" s="57"/>
      <c r="H74" s="58"/>
      <c r="I74" s="59"/>
      <c r="J74" s="154"/>
      <c r="K74" s="57"/>
      <c r="L74" s="34"/>
      <c r="M74" s="34"/>
      <c r="N74" s="49">
        <v>44439</v>
      </c>
      <c r="O74" s="41"/>
      <c r="P74" s="50">
        <v>1600</v>
      </c>
      <c r="Q74" s="51">
        <v>44453</v>
      </c>
      <c r="R74" s="52"/>
      <c r="S74" s="50"/>
      <c r="T74" s="50"/>
      <c r="U74" s="45"/>
      <c r="V74" s="156"/>
      <c r="W74" s="47"/>
      <c r="X74" s="139">
        <v>10</v>
      </c>
    </row>
    <row r="75" spans="1:24" s="139" customFormat="1" x14ac:dyDescent="0.25">
      <c r="A75" s="33"/>
      <c r="B75" s="34"/>
      <c r="C75" s="34"/>
      <c r="D75" s="34"/>
      <c r="E75" s="55"/>
      <c r="F75" s="56"/>
      <c r="G75" s="57"/>
      <c r="H75" s="58"/>
      <c r="I75" s="59"/>
      <c r="J75" s="154"/>
      <c r="K75" s="57"/>
      <c r="L75" s="34"/>
      <c r="M75" s="34"/>
      <c r="N75" s="49" t="s">
        <v>220</v>
      </c>
      <c r="O75" s="41"/>
      <c r="P75" s="50">
        <v>1600</v>
      </c>
      <c r="Q75" s="51">
        <v>44461</v>
      </c>
      <c r="R75" s="52"/>
      <c r="S75" s="50"/>
      <c r="T75" s="50"/>
      <c r="U75" s="45"/>
      <c r="V75" s="156"/>
      <c r="W75" s="47"/>
      <c r="X75" s="139">
        <v>10</v>
      </c>
    </row>
    <row r="76" spans="1:24" s="139" customFormat="1" x14ac:dyDescent="0.25">
      <c r="A76" s="33"/>
      <c r="B76" s="34"/>
      <c r="C76" s="34"/>
      <c r="D76" s="34"/>
      <c r="E76" s="55"/>
      <c r="F76" s="56"/>
      <c r="G76" s="57"/>
      <c r="H76" s="58"/>
      <c r="I76" s="59"/>
      <c r="J76" s="154"/>
      <c r="K76" s="57"/>
      <c r="L76" s="34"/>
      <c r="M76" s="34"/>
      <c r="N76" s="49" t="s">
        <v>221</v>
      </c>
      <c r="O76" s="41"/>
      <c r="P76" s="50">
        <v>1600</v>
      </c>
      <c r="Q76" s="51">
        <v>44484</v>
      </c>
      <c r="R76" s="52"/>
      <c r="S76" s="50"/>
      <c r="T76" s="50"/>
      <c r="U76" s="45"/>
      <c r="V76" s="156"/>
      <c r="W76" s="47"/>
      <c r="X76" s="139">
        <v>10</v>
      </c>
    </row>
    <row r="77" spans="1:24" s="139" customFormat="1" x14ac:dyDescent="0.25">
      <c r="A77" s="33"/>
      <c r="B77" s="34"/>
      <c r="C77" s="34"/>
      <c r="D77" s="34"/>
      <c r="E77" s="55"/>
      <c r="F77" s="56"/>
      <c r="G77" s="57"/>
      <c r="H77" s="58"/>
      <c r="I77" s="59"/>
      <c r="J77" s="154"/>
      <c r="K77" s="57"/>
      <c r="L77" s="34"/>
      <c r="M77" s="34"/>
      <c r="N77" s="49">
        <v>44500</v>
      </c>
      <c r="O77" s="41"/>
      <c r="P77" s="50">
        <v>1600</v>
      </c>
      <c r="Q77" s="51">
        <v>44522</v>
      </c>
      <c r="R77" s="52"/>
      <c r="S77" s="50"/>
      <c r="T77" s="50"/>
      <c r="U77" s="45"/>
      <c r="V77" s="156"/>
      <c r="W77" s="47"/>
      <c r="X77" s="139">
        <v>10</v>
      </c>
    </row>
    <row r="78" spans="1:24" s="139" customFormat="1" x14ac:dyDescent="0.25">
      <c r="A78" s="33"/>
      <c r="B78" s="34"/>
      <c r="C78" s="34"/>
      <c r="D78" s="34"/>
      <c r="E78" s="55"/>
      <c r="F78" s="56"/>
      <c r="G78" s="57"/>
      <c r="H78" s="58"/>
      <c r="I78" s="59"/>
      <c r="J78" s="154"/>
      <c r="K78" s="57"/>
      <c r="L78" s="34"/>
      <c r="M78" s="34"/>
      <c r="N78" s="49">
        <v>44530</v>
      </c>
      <c r="O78" s="41"/>
      <c r="P78" s="50">
        <v>1600</v>
      </c>
      <c r="Q78" s="51">
        <v>44551</v>
      </c>
      <c r="R78" s="52"/>
      <c r="S78" s="50"/>
      <c r="T78" s="50"/>
      <c r="U78" s="45"/>
      <c r="V78" s="156"/>
      <c r="W78" s="47"/>
      <c r="X78" s="139">
        <v>10</v>
      </c>
    </row>
    <row r="79" spans="1:24" s="139" customFormat="1" x14ac:dyDescent="0.25">
      <c r="A79" s="33"/>
      <c r="B79" s="34"/>
      <c r="C79" s="34"/>
      <c r="D79" s="34"/>
      <c r="E79" s="55"/>
      <c r="F79" s="56"/>
      <c r="G79" s="57"/>
      <c r="H79" s="58"/>
      <c r="I79" s="59"/>
      <c r="J79" s="154"/>
      <c r="K79" s="57"/>
      <c r="L79" s="34"/>
      <c r="M79" s="34"/>
      <c r="N79" s="49"/>
      <c r="O79" s="41"/>
      <c r="P79" s="50">
        <v>1600</v>
      </c>
      <c r="Q79" s="51"/>
      <c r="R79" s="52"/>
      <c r="S79" s="50"/>
      <c r="T79" s="50"/>
      <c r="U79" s="45"/>
      <c r="V79" s="156"/>
      <c r="W79" s="47"/>
      <c r="X79" s="139">
        <v>10</v>
      </c>
    </row>
    <row r="80" spans="1:24" s="157" customFormat="1" ht="131.25" customHeight="1" x14ac:dyDescent="0.25">
      <c r="A80" s="33">
        <v>8</v>
      </c>
      <c r="B80" s="34"/>
      <c r="C80" s="34"/>
      <c r="D80" s="34" t="s">
        <v>59</v>
      </c>
      <c r="E80" s="55" t="s">
        <v>28</v>
      </c>
      <c r="F80" s="56">
        <v>44221</v>
      </c>
      <c r="G80" s="57" t="s">
        <v>222</v>
      </c>
      <c r="H80" s="58">
        <v>25245</v>
      </c>
      <c r="I80" s="39">
        <f>IF(X80 = 11, H80 + SUM(S80:S96) - SUM(T80:T96) - SUM(P80:P96) - V80,0)</f>
        <v>2211</v>
      </c>
      <c r="J80" s="163"/>
      <c r="K80" s="57" t="s">
        <v>223</v>
      </c>
      <c r="L80" s="34"/>
      <c r="M80" s="34"/>
      <c r="N80" s="40">
        <v>44224</v>
      </c>
      <c r="O80" s="41" t="s">
        <v>80</v>
      </c>
      <c r="P80" s="42">
        <v>1320</v>
      </c>
      <c r="Q80" s="43">
        <v>44236</v>
      </c>
      <c r="R80" s="44"/>
      <c r="S80" s="42"/>
      <c r="T80" s="42"/>
      <c r="U80" s="45"/>
      <c r="V80" s="156"/>
      <c r="W80" s="47"/>
      <c r="X80" s="157">
        <v>11</v>
      </c>
    </row>
    <row r="81" spans="1:24" s="139" customFormat="1" x14ac:dyDescent="0.25">
      <c r="A81" s="33"/>
      <c r="B81" s="34"/>
      <c r="C81" s="34"/>
      <c r="D81" s="34"/>
      <c r="E81" s="55"/>
      <c r="F81" s="56"/>
      <c r="G81" s="57"/>
      <c r="H81" s="58"/>
      <c r="I81" s="39"/>
      <c r="J81" s="163"/>
      <c r="K81" s="57"/>
      <c r="L81" s="34"/>
      <c r="M81" s="34"/>
      <c r="N81" s="49">
        <v>44217</v>
      </c>
      <c r="O81" s="41"/>
      <c r="P81" s="50">
        <v>1320</v>
      </c>
      <c r="Q81" s="51">
        <v>44251</v>
      </c>
      <c r="R81" s="52"/>
      <c r="S81" s="50"/>
      <c r="T81" s="50"/>
      <c r="U81" s="45"/>
      <c r="V81" s="156"/>
      <c r="W81" s="47"/>
      <c r="X81" s="139">
        <v>11</v>
      </c>
    </row>
    <row r="82" spans="1:24" s="139" customFormat="1" x14ac:dyDescent="0.25">
      <c r="A82" s="33"/>
      <c r="B82" s="34"/>
      <c r="C82" s="34"/>
      <c r="D82" s="34"/>
      <c r="E82" s="55"/>
      <c r="F82" s="56"/>
      <c r="G82" s="57"/>
      <c r="H82" s="58"/>
      <c r="I82" s="39"/>
      <c r="J82" s="163"/>
      <c r="K82" s="57"/>
      <c r="L82" s="34"/>
      <c r="M82" s="34"/>
      <c r="N82" s="49">
        <v>44210</v>
      </c>
      <c r="O82" s="41"/>
      <c r="P82" s="50">
        <v>1320</v>
      </c>
      <c r="Q82" s="51">
        <v>44251</v>
      </c>
      <c r="R82" s="52"/>
      <c r="S82" s="50"/>
      <c r="T82" s="50"/>
      <c r="U82" s="45"/>
      <c r="V82" s="156"/>
      <c r="W82" s="47"/>
      <c r="X82" s="139">
        <v>11</v>
      </c>
    </row>
    <row r="83" spans="1:24" s="139" customFormat="1" x14ac:dyDescent="0.25">
      <c r="A83" s="33"/>
      <c r="B83" s="34"/>
      <c r="C83" s="34"/>
      <c r="D83" s="34"/>
      <c r="E83" s="55"/>
      <c r="F83" s="56"/>
      <c r="G83" s="57"/>
      <c r="H83" s="58"/>
      <c r="I83" s="39"/>
      <c r="J83" s="163"/>
      <c r="K83" s="57"/>
      <c r="L83" s="34"/>
      <c r="M83" s="34"/>
      <c r="N83" s="49">
        <v>44231</v>
      </c>
      <c r="O83" s="41"/>
      <c r="P83" s="50">
        <v>1336.5</v>
      </c>
      <c r="Q83" s="51">
        <v>44251</v>
      </c>
      <c r="R83" s="52"/>
      <c r="S83" s="50"/>
      <c r="T83" s="50"/>
      <c r="U83" s="45"/>
      <c r="V83" s="156"/>
      <c r="W83" s="47"/>
      <c r="X83" s="139">
        <v>11</v>
      </c>
    </row>
    <row r="84" spans="1:24" s="139" customFormat="1" x14ac:dyDescent="0.25">
      <c r="A84" s="33"/>
      <c r="B84" s="34"/>
      <c r="C84" s="34"/>
      <c r="D84" s="34"/>
      <c r="E84" s="55"/>
      <c r="F84" s="56"/>
      <c r="G84" s="57"/>
      <c r="H84" s="58"/>
      <c r="I84" s="39"/>
      <c r="J84" s="163"/>
      <c r="K84" s="57"/>
      <c r="L84" s="34"/>
      <c r="M84" s="34"/>
      <c r="N84" s="49">
        <v>44238</v>
      </c>
      <c r="O84" s="41"/>
      <c r="P84" s="50">
        <v>1353</v>
      </c>
      <c r="Q84" s="51">
        <v>44268</v>
      </c>
      <c r="R84" s="52"/>
      <c r="S84" s="50"/>
      <c r="T84" s="50"/>
      <c r="U84" s="45"/>
      <c r="V84" s="156"/>
      <c r="W84" s="47"/>
      <c r="X84" s="139">
        <v>11</v>
      </c>
    </row>
    <row r="85" spans="1:24" s="139" customFormat="1" x14ac:dyDescent="0.25">
      <c r="A85" s="33"/>
      <c r="B85" s="34"/>
      <c r="C85" s="34"/>
      <c r="D85" s="34"/>
      <c r="E85" s="55"/>
      <c r="F85" s="56"/>
      <c r="G85" s="57"/>
      <c r="H85" s="58"/>
      <c r="I85" s="39"/>
      <c r="J85" s="163"/>
      <c r="K85" s="57"/>
      <c r="L85" s="34"/>
      <c r="M85" s="34"/>
      <c r="N85" s="49">
        <v>44245</v>
      </c>
      <c r="O85" s="41"/>
      <c r="P85" s="50">
        <v>1353</v>
      </c>
      <c r="Q85" s="51">
        <v>44267</v>
      </c>
      <c r="R85" s="52"/>
      <c r="S85" s="50"/>
      <c r="T85" s="50"/>
      <c r="U85" s="45"/>
      <c r="V85" s="156"/>
      <c r="W85" s="47"/>
      <c r="X85" s="139">
        <v>11</v>
      </c>
    </row>
    <row r="86" spans="1:24" s="139" customFormat="1" x14ac:dyDescent="0.25">
      <c r="A86" s="33"/>
      <c r="B86" s="34"/>
      <c r="C86" s="34"/>
      <c r="D86" s="34"/>
      <c r="E86" s="55"/>
      <c r="F86" s="56"/>
      <c r="G86" s="57"/>
      <c r="H86" s="58"/>
      <c r="I86" s="39"/>
      <c r="J86" s="163"/>
      <c r="K86" s="57"/>
      <c r="L86" s="34"/>
      <c r="M86" s="34"/>
      <c r="N86" s="49">
        <v>44259</v>
      </c>
      <c r="O86" s="41"/>
      <c r="P86" s="50">
        <v>1353</v>
      </c>
      <c r="Q86" s="51">
        <v>44277</v>
      </c>
      <c r="R86" s="52"/>
      <c r="S86" s="50"/>
      <c r="T86" s="50"/>
      <c r="U86" s="45"/>
      <c r="V86" s="156"/>
      <c r="W86" s="47"/>
      <c r="X86" s="139">
        <v>11</v>
      </c>
    </row>
    <row r="87" spans="1:24" s="139" customFormat="1" x14ac:dyDescent="0.25">
      <c r="A87" s="33"/>
      <c r="B87" s="34"/>
      <c r="C87" s="34"/>
      <c r="D87" s="34"/>
      <c r="E87" s="55"/>
      <c r="F87" s="56"/>
      <c r="G87" s="57"/>
      <c r="H87" s="58"/>
      <c r="I87" s="39"/>
      <c r="J87" s="163"/>
      <c r="K87" s="57"/>
      <c r="L87" s="34"/>
      <c r="M87" s="34"/>
      <c r="N87" s="49">
        <v>44266</v>
      </c>
      <c r="O87" s="41"/>
      <c r="P87" s="50">
        <v>1369.5</v>
      </c>
      <c r="Q87" s="51">
        <v>44277</v>
      </c>
      <c r="R87" s="52"/>
      <c r="S87" s="50"/>
      <c r="T87" s="50"/>
      <c r="U87" s="45"/>
      <c r="V87" s="156"/>
      <c r="W87" s="47"/>
      <c r="X87" s="139">
        <v>11</v>
      </c>
    </row>
    <row r="88" spans="1:24" s="139" customFormat="1" x14ac:dyDescent="0.25">
      <c r="A88" s="33"/>
      <c r="B88" s="34"/>
      <c r="C88" s="34"/>
      <c r="D88" s="34"/>
      <c r="E88" s="55"/>
      <c r="F88" s="56"/>
      <c r="G88" s="57"/>
      <c r="H88" s="58"/>
      <c r="I88" s="39"/>
      <c r="J88" s="163"/>
      <c r="K88" s="57"/>
      <c r="L88" s="34"/>
      <c r="M88" s="34"/>
      <c r="N88" s="49" t="s">
        <v>224</v>
      </c>
      <c r="O88" s="41"/>
      <c r="P88" s="50">
        <v>1369.5</v>
      </c>
      <c r="Q88" s="51">
        <v>44292</v>
      </c>
      <c r="R88" s="52"/>
      <c r="S88" s="50"/>
      <c r="T88" s="50"/>
      <c r="U88" s="45"/>
      <c r="V88" s="156"/>
      <c r="W88" s="47"/>
      <c r="X88" s="139">
        <v>11</v>
      </c>
    </row>
    <row r="89" spans="1:24" s="139" customFormat="1" x14ac:dyDescent="0.25">
      <c r="A89" s="33"/>
      <c r="B89" s="34"/>
      <c r="C89" s="34"/>
      <c r="D89" s="34"/>
      <c r="E89" s="55"/>
      <c r="F89" s="56"/>
      <c r="G89" s="57"/>
      <c r="H89" s="58"/>
      <c r="I89" s="39"/>
      <c r="J89" s="163"/>
      <c r="K89" s="57"/>
      <c r="L89" s="34"/>
      <c r="M89" s="34"/>
      <c r="N89" s="49">
        <v>44252</v>
      </c>
      <c r="O89" s="41"/>
      <c r="P89" s="50">
        <v>1353</v>
      </c>
      <c r="Q89" s="51">
        <v>44292</v>
      </c>
      <c r="R89" s="52"/>
      <c r="S89" s="50"/>
      <c r="T89" s="50"/>
      <c r="U89" s="45"/>
      <c r="V89" s="156"/>
      <c r="W89" s="47"/>
      <c r="X89" s="139">
        <v>11</v>
      </c>
    </row>
    <row r="90" spans="1:24" s="139" customFormat="1" x14ac:dyDescent="0.25">
      <c r="A90" s="33"/>
      <c r="B90" s="34"/>
      <c r="C90" s="34"/>
      <c r="D90" s="34"/>
      <c r="E90" s="55"/>
      <c r="F90" s="56"/>
      <c r="G90" s="57"/>
      <c r="H90" s="58"/>
      <c r="I90" s="39"/>
      <c r="J90" s="163"/>
      <c r="K90" s="57"/>
      <c r="L90" s="34"/>
      <c r="M90" s="34"/>
      <c r="N90" s="49">
        <v>44287</v>
      </c>
      <c r="O90" s="41"/>
      <c r="P90" s="50">
        <v>1369.5</v>
      </c>
      <c r="Q90" s="51">
        <v>44309</v>
      </c>
      <c r="R90" s="52"/>
      <c r="S90" s="50"/>
      <c r="T90" s="50"/>
      <c r="U90" s="45"/>
      <c r="V90" s="156"/>
      <c r="W90" s="47"/>
      <c r="X90" s="139">
        <v>11</v>
      </c>
    </row>
    <row r="91" spans="1:24" s="139" customFormat="1" x14ac:dyDescent="0.25">
      <c r="A91" s="33"/>
      <c r="B91" s="34"/>
      <c r="C91" s="34"/>
      <c r="D91" s="34"/>
      <c r="E91" s="55"/>
      <c r="F91" s="56"/>
      <c r="G91" s="57"/>
      <c r="H91" s="58"/>
      <c r="I91" s="39"/>
      <c r="J91" s="163"/>
      <c r="K91" s="57"/>
      <c r="L91" s="34"/>
      <c r="M91" s="34"/>
      <c r="N91" s="49">
        <v>44294</v>
      </c>
      <c r="O91" s="41"/>
      <c r="P91" s="50">
        <v>1369.5</v>
      </c>
      <c r="Q91" s="51">
        <v>44309</v>
      </c>
      <c r="R91" s="52"/>
      <c r="S91" s="50"/>
      <c r="T91" s="50"/>
      <c r="U91" s="45"/>
      <c r="V91" s="156"/>
      <c r="W91" s="47"/>
      <c r="X91" s="139">
        <v>11</v>
      </c>
    </row>
    <row r="92" spans="1:24" s="139" customFormat="1" x14ac:dyDescent="0.25">
      <c r="A92" s="33"/>
      <c r="B92" s="34"/>
      <c r="C92" s="34"/>
      <c r="D92" s="34"/>
      <c r="E92" s="55"/>
      <c r="F92" s="56"/>
      <c r="G92" s="57"/>
      <c r="H92" s="58"/>
      <c r="I92" s="39"/>
      <c r="J92" s="163"/>
      <c r="K92" s="57"/>
      <c r="L92" s="34"/>
      <c r="M92" s="34"/>
      <c r="N92" s="49">
        <v>44301</v>
      </c>
      <c r="O92" s="41"/>
      <c r="P92" s="50">
        <v>1369.5</v>
      </c>
      <c r="Q92" s="51">
        <v>44309</v>
      </c>
      <c r="R92" s="52"/>
      <c r="S92" s="50"/>
      <c r="T92" s="50"/>
      <c r="U92" s="45"/>
      <c r="V92" s="156"/>
      <c r="W92" s="47"/>
      <c r="X92" s="139">
        <v>11</v>
      </c>
    </row>
    <row r="93" spans="1:24" s="139" customFormat="1" x14ac:dyDescent="0.25">
      <c r="A93" s="33"/>
      <c r="B93" s="34"/>
      <c r="C93" s="34"/>
      <c r="D93" s="34"/>
      <c r="E93" s="55"/>
      <c r="F93" s="56"/>
      <c r="G93" s="57"/>
      <c r="H93" s="58"/>
      <c r="I93" s="39"/>
      <c r="J93" s="163"/>
      <c r="K93" s="57"/>
      <c r="L93" s="34"/>
      <c r="M93" s="34"/>
      <c r="N93" s="49">
        <v>44308</v>
      </c>
      <c r="O93" s="41"/>
      <c r="P93" s="50">
        <v>1369.5</v>
      </c>
      <c r="Q93" s="51">
        <v>44336</v>
      </c>
      <c r="R93" s="52"/>
      <c r="S93" s="50"/>
      <c r="T93" s="50"/>
      <c r="U93" s="45"/>
      <c r="V93" s="156"/>
      <c r="W93" s="47"/>
      <c r="X93" s="139">
        <v>11</v>
      </c>
    </row>
    <row r="94" spans="1:24" s="139" customFormat="1" x14ac:dyDescent="0.25">
      <c r="A94" s="33"/>
      <c r="B94" s="34"/>
      <c r="C94" s="34"/>
      <c r="D94" s="34"/>
      <c r="E94" s="55"/>
      <c r="F94" s="56"/>
      <c r="G94" s="57"/>
      <c r="H94" s="58"/>
      <c r="I94" s="39"/>
      <c r="J94" s="163"/>
      <c r="K94" s="57"/>
      <c r="L94" s="34"/>
      <c r="M94" s="34"/>
      <c r="N94" s="49">
        <v>44315</v>
      </c>
      <c r="O94" s="41"/>
      <c r="P94" s="50">
        <v>1369.5</v>
      </c>
      <c r="Q94" s="51">
        <v>44336</v>
      </c>
      <c r="R94" s="52"/>
      <c r="S94" s="50"/>
      <c r="T94" s="50"/>
      <c r="U94" s="45"/>
      <c r="V94" s="156"/>
      <c r="W94" s="47"/>
      <c r="X94" s="139">
        <v>11</v>
      </c>
    </row>
    <row r="95" spans="1:24" s="139" customFormat="1" x14ac:dyDescent="0.25">
      <c r="A95" s="33"/>
      <c r="B95" s="34"/>
      <c r="C95" s="34"/>
      <c r="D95" s="34"/>
      <c r="E95" s="55"/>
      <c r="F95" s="56"/>
      <c r="G95" s="57"/>
      <c r="H95" s="58"/>
      <c r="I95" s="39"/>
      <c r="J95" s="163"/>
      <c r="K95" s="57"/>
      <c r="L95" s="34"/>
      <c r="M95" s="34"/>
      <c r="N95" s="49">
        <v>44329</v>
      </c>
      <c r="O95" s="41"/>
      <c r="P95" s="50">
        <v>1369.5</v>
      </c>
      <c r="Q95" s="51">
        <v>44348</v>
      </c>
      <c r="R95" s="52"/>
      <c r="S95" s="50"/>
      <c r="T95" s="50"/>
      <c r="U95" s="45"/>
      <c r="V95" s="156"/>
      <c r="W95" s="47"/>
      <c r="X95" s="139">
        <v>11</v>
      </c>
    </row>
    <row r="96" spans="1:24" s="139" customFormat="1" x14ac:dyDescent="0.25">
      <c r="A96" s="33"/>
      <c r="B96" s="34"/>
      <c r="C96" s="34"/>
      <c r="D96" s="34"/>
      <c r="E96" s="55"/>
      <c r="F96" s="56"/>
      <c r="G96" s="57"/>
      <c r="H96" s="58"/>
      <c r="I96" s="39"/>
      <c r="J96" s="163"/>
      <c r="K96" s="57"/>
      <c r="L96" s="34"/>
      <c r="M96" s="34"/>
      <c r="N96" s="49">
        <v>44336</v>
      </c>
      <c r="O96" s="41"/>
      <c r="P96" s="50">
        <v>1369.5</v>
      </c>
      <c r="Q96" s="51">
        <v>44349</v>
      </c>
      <c r="R96" s="52"/>
      <c r="S96" s="50"/>
      <c r="T96" s="50"/>
      <c r="U96" s="45"/>
      <c r="V96" s="156"/>
      <c r="W96" s="47"/>
      <c r="X96" s="139">
        <v>11</v>
      </c>
    </row>
    <row r="97" spans="1:24" s="157" customFormat="1" ht="90.75" customHeight="1" x14ac:dyDescent="0.25">
      <c r="A97" s="33">
        <v>9</v>
      </c>
      <c r="B97" s="34"/>
      <c r="C97" s="34"/>
      <c r="D97" s="34" t="s">
        <v>59</v>
      </c>
      <c r="E97" s="55" t="s">
        <v>28</v>
      </c>
      <c r="F97" s="56">
        <v>44221</v>
      </c>
      <c r="G97" s="57" t="s">
        <v>225</v>
      </c>
      <c r="H97" s="58">
        <v>127500</v>
      </c>
      <c r="I97" s="39">
        <f>IF(X97 = 12, H97 + SUM(S97:S102) - SUM(T97:T102) - SUM(P97:P102) - V97,0)</f>
        <v>0</v>
      </c>
      <c r="J97" s="163">
        <v>2353020735</v>
      </c>
      <c r="K97" s="57" t="s">
        <v>226</v>
      </c>
      <c r="L97" s="34"/>
      <c r="M97" s="34" t="s">
        <v>202</v>
      </c>
      <c r="N97" s="40">
        <v>44225</v>
      </c>
      <c r="O97" s="41" t="s">
        <v>80</v>
      </c>
      <c r="P97" s="42">
        <v>17922</v>
      </c>
      <c r="Q97" s="43">
        <v>44238</v>
      </c>
      <c r="R97" s="44"/>
      <c r="S97" s="42"/>
      <c r="T97" s="42"/>
      <c r="U97" s="34" t="s">
        <v>227</v>
      </c>
      <c r="V97" s="164">
        <v>36174</v>
      </c>
      <c r="W97" s="47"/>
      <c r="X97" s="157">
        <v>12</v>
      </c>
    </row>
    <row r="98" spans="1:24" s="139" customFormat="1" x14ac:dyDescent="0.25">
      <c r="A98" s="33"/>
      <c r="B98" s="34"/>
      <c r="C98" s="34"/>
      <c r="D98" s="34"/>
      <c r="E98" s="55"/>
      <c r="F98" s="56"/>
      <c r="G98" s="57"/>
      <c r="H98" s="58"/>
      <c r="I98" s="39"/>
      <c r="J98" s="163"/>
      <c r="K98" s="57"/>
      <c r="L98" s="34"/>
      <c r="M98" s="34"/>
      <c r="N98" s="49">
        <v>44253</v>
      </c>
      <c r="O98" s="41"/>
      <c r="P98" s="50">
        <v>19212</v>
      </c>
      <c r="Q98" s="51">
        <v>44267</v>
      </c>
      <c r="R98" s="52"/>
      <c r="S98" s="50"/>
      <c r="T98" s="50"/>
      <c r="U98" s="34"/>
      <c r="V98" s="164"/>
      <c r="W98" s="47"/>
      <c r="X98" s="139">
        <v>12</v>
      </c>
    </row>
    <row r="99" spans="1:24" s="139" customFormat="1" x14ac:dyDescent="0.25">
      <c r="A99" s="33"/>
      <c r="B99" s="34"/>
      <c r="C99" s="34"/>
      <c r="D99" s="34"/>
      <c r="E99" s="55"/>
      <c r="F99" s="56"/>
      <c r="G99" s="57"/>
      <c r="H99" s="58"/>
      <c r="I99" s="39"/>
      <c r="J99" s="163"/>
      <c r="K99" s="57"/>
      <c r="L99" s="34"/>
      <c r="M99" s="34"/>
      <c r="N99" s="49">
        <v>44286</v>
      </c>
      <c r="O99" s="41"/>
      <c r="P99" s="50">
        <v>19758</v>
      </c>
      <c r="Q99" s="51">
        <v>44298</v>
      </c>
      <c r="R99" s="52"/>
      <c r="S99" s="50"/>
      <c r="T99" s="50"/>
      <c r="U99" s="34"/>
      <c r="V99" s="164"/>
      <c r="W99" s="47"/>
      <c r="X99" s="139">
        <v>12</v>
      </c>
    </row>
    <row r="100" spans="1:24" s="139" customFormat="1" x14ac:dyDescent="0.25">
      <c r="A100" s="33"/>
      <c r="B100" s="34"/>
      <c r="C100" s="34"/>
      <c r="D100" s="34"/>
      <c r="E100" s="55"/>
      <c r="F100" s="56"/>
      <c r="G100" s="57"/>
      <c r="H100" s="58"/>
      <c r="I100" s="39"/>
      <c r="J100" s="163"/>
      <c r="K100" s="57"/>
      <c r="L100" s="34"/>
      <c r="M100" s="34"/>
      <c r="N100" s="49">
        <v>44316</v>
      </c>
      <c r="O100" s="41"/>
      <c r="P100" s="50">
        <v>26796</v>
      </c>
      <c r="Q100" s="51">
        <v>44336</v>
      </c>
      <c r="R100" s="52"/>
      <c r="S100" s="50"/>
      <c r="T100" s="50"/>
      <c r="U100" s="34"/>
      <c r="V100" s="164"/>
      <c r="W100" s="47"/>
      <c r="X100" s="139">
        <v>12</v>
      </c>
    </row>
    <row r="101" spans="1:24" s="139" customFormat="1" x14ac:dyDescent="0.25">
      <c r="A101" s="33"/>
      <c r="B101" s="34"/>
      <c r="C101" s="34"/>
      <c r="D101" s="34"/>
      <c r="E101" s="55"/>
      <c r="F101" s="56"/>
      <c r="G101" s="57"/>
      <c r="H101" s="58"/>
      <c r="I101" s="39"/>
      <c r="J101" s="163"/>
      <c r="K101" s="57"/>
      <c r="L101" s="34"/>
      <c r="M101" s="34"/>
      <c r="N101" s="49">
        <v>44337</v>
      </c>
      <c r="O101" s="41"/>
      <c r="P101" s="50">
        <v>7638</v>
      </c>
      <c r="Q101" s="51">
        <v>44354</v>
      </c>
      <c r="R101" s="52"/>
      <c r="S101" s="50"/>
      <c r="T101" s="50"/>
      <c r="U101" s="34"/>
      <c r="V101" s="164"/>
      <c r="W101" s="47"/>
      <c r="X101" s="139">
        <v>12</v>
      </c>
    </row>
    <row r="102" spans="1:24" s="139" customFormat="1" x14ac:dyDescent="0.25">
      <c r="A102" s="33"/>
      <c r="B102" s="34"/>
      <c r="C102" s="34"/>
      <c r="D102" s="34"/>
      <c r="E102" s="55"/>
      <c r="F102" s="56"/>
      <c r="G102" s="57"/>
      <c r="H102" s="58"/>
      <c r="I102" s="39"/>
      <c r="J102" s="163"/>
      <c r="K102" s="57"/>
      <c r="L102" s="34"/>
      <c r="M102" s="34"/>
      <c r="N102" s="49"/>
      <c r="O102" s="41"/>
      <c r="P102" s="50"/>
      <c r="Q102" s="51"/>
      <c r="R102" s="52"/>
      <c r="S102" s="50"/>
      <c r="T102" s="50"/>
      <c r="U102" s="34"/>
      <c r="V102" s="164"/>
      <c r="W102" s="47"/>
      <c r="X102" s="139">
        <v>12</v>
      </c>
    </row>
    <row r="103" spans="1:24" s="157" customFormat="1" ht="131.25" customHeight="1" x14ac:dyDescent="0.25">
      <c r="A103" s="33">
        <v>10</v>
      </c>
      <c r="B103" s="34"/>
      <c r="C103" s="34"/>
      <c r="D103" s="34" t="s">
        <v>59</v>
      </c>
      <c r="E103" s="55" t="s">
        <v>27</v>
      </c>
      <c r="F103" s="56">
        <v>44221</v>
      </c>
      <c r="G103" s="57" t="s">
        <v>228</v>
      </c>
      <c r="H103" s="58">
        <v>36550</v>
      </c>
      <c r="I103" s="39">
        <f>IF(X103 = 13, H103 + SUM(S103:S108) - SUM(T103:T108) - SUM(P103:P108) - V103,0)</f>
        <v>0</v>
      </c>
      <c r="J103" s="163">
        <v>2353020735</v>
      </c>
      <c r="K103" s="57" t="s">
        <v>229</v>
      </c>
      <c r="L103" s="34"/>
      <c r="M103" s="34" t="s">
        <v>202</v>
      </c>
      <c r="N103" s="40">
        <v>44225</v>
      </c>
      <c r="O103" s="41" t="s">
        <v>80</v>
      </c>
      <c r="P103" s="42">
        <v>3650</v>
      </c>
      <c r="Q103" s="43">
        <v>44238</v>
      </c>
      <c r="R103" s="44"/>
      <c r="S103" s="42"/>
      <c r="T103" s="42"/>
      <c r="U103" s="34" t="s">
        <v>227</v>
      </c>
      <c r="V103" s="164">
        <v>17290</v>
      </c>
      <c r="W103" s="47"/>
      <c r="X103" s="157">
        <v>13</v>
      </c>
    </row>
    <row r="104" spans="1:24" s="139" customFormat="1" x14ac:dyDescent="0.25">
      <c r="A104" s="33"/>
      <c r="B104" s="34"/>
      <c r="C104" s="34"/>
      <c r="D104" s="34"/>
      <c r="E104" s="55"/>
      <c r="F104" s="56"/>
      <c r="G104" s="57"/>
      <c r="H104" s="58"/>
      <c r="I104" s="39"/>
      <c r="J104" s="163"/>
      <c r="K104" s="57"/>
      <c r="L104" s="34"/>
      <c r="M104" s="34"/>
      <c r="N104" s="49">
        <v>44253</v>
      </c>
      <c r="O104" s="41"/>
      <c r="P104" s="50">
        <v>4010</v>
      </c>
      <c r="Q104" s="51">
        <v>44267</v>
      </c>
      <c r="R104" s="52"/>
      <c r="S104" s="50"/>
      <c r="T104" s="50"/>
      <c r="U104" s="34"/>
      <c r="V104" s="164"/>
      <c r="W104" s="47"/>
      <c r="X104" s="139">
        <v>13</v>
      </c>
    </row>
    <row r="105" spans="1:24" s="139" customFormat="1" x14ac:dyDescent="0.25">
      <c r="A105" s="33"/>
      <c r="B105" s="34"/>
      <c r="C105" s="34"/>
      <c r="D105" s="34"/>
      <c r="E105" s="55"/>
      <c r="F105" s="56"/>
      <c r="G105" s="57"/>
      <c r="H105" s="58"/>
      <c r="I105" s="39"/>
      <c r="J105" s="163"/>
      <c r="K105" s="57"/>
      <c r="L105" s="34"/>
      <c r="M105" s="34"/>
      <c r="N105" s="49">
        <v>44286</v>
      </c>
      <c r="O105" s="41"/>
      <c r="P105" s="50">
        <v>4160</v>
      </c>
      <c r="Q105" s="51">
        <v>44298</v>
      </c>
      <c r="R105" s="52"/>
      <c r="S105" s="50"/>
      <c r="T105" s="50"/>
      <c r="U105" s="34"/>
      <c r="V105" s="164"/>
      <c r="W105" s="47"/>
      <c r="X105" s="139">
        <v>13</v>
      </c>
    </row>
    <row r="106" spans="1:24" s="139" customFormat="1" x14ac:dyDescent="0.25">
      <c r="A106" s="33"/>
      <c r="B106" s="34"/>
      <c r="C106" s="34"/>
      <c r="D106" s="34"/>
      <c r="E106" s="55"/>
      <c r="F106" s="56"/>
      <c r="G106" s="57"/>
      <c r="H106" s="58"/>
      <c r="I106" s="39"/>
      <c r="J106" s="163"/>
      <c r="K106" s="57"/>
      <c r="L106" s="34"/>
      <c r="M106" s="34"/>
      <c r="N106" s="49">
        <v>44316</v>
      </c>
      <c r="O106" s="41"/>
      <c r="P106" s="50">
        <v>5600</v>
      </c>
      <c r="Q106" s="51">
        <v>44336</v>
      </c>
      <c r="R106" s="52"/>
      <c r="S106" s="50"/>
      <c r="T106" s="50"/>
      <c r="U106" s="34"/>
      <c r="V106" s="164"/>
      <c r="W106" s="47"/>
      <c r="X106" s="139">
        <v>13</v>
      </c>
    </row>
    <row r="107" spans="1:24" s="139" customFormat="1" x14ac:dyDescent="0.25">
      <c r="A107" s="33"/>
      <c r="B107" s="34"/>
      <c r="C107" s="34"/>
      <c r="D107" s="34"/>
      <c r="E107" s="55"/>
      <c r="F107" s="56"/>
      <c r="G107" s="57"/>
      <c r="H107" s="58"/>
      <c r="I107" s="39"/>
      <c r="J107" s="163"/>
      <c r="K107" s="57"/>
      <c r="L107" s="34"/>
      <c r="M107" s="34"/>
      <c r="N107" s="49">
        <v>44337</v>
      </c>
      <c r="O107" s="41"/>
      <c r="P107" s="50">
        <v>1840</v>
      </c>
      <c r="Q107" s="51">
        <v>44354</v>
      </c>
      <c r="R107" s="52"/>
      <c r="S107" s="50"/>
      <c r="T107" s="50"/>
      <c r="U107" s="34"/>
      <c r="V107" s="164"/>
      <c r="W107" s="47"/>
      <c r="X107" s="139">
        <v>13</v>
      </c>
    </row>
    <row r="108" spans="1:24" s="139" customFormat="1" x14ac:dyDescent="0.25">
      <c r="A108" s="33"/>
      <c r="B108" s="34"/>
      <c r="C108" s="34"/>
      <c r="D108" s="34"/>
      <c r="E108" s="55"/>
      <c r="F108" s="56"/>
      <c r="G108" s="57"/>
      <c r="H108" s="58"/>
      <c r="I108" s="39"/>
      <c r="J108" s="163"/>
      <c r="K108" s="57"/>
      <c r="L108" s="34"/>
      <c r="M108" s="34"/>
      <c r="N108" s="49"/>
      <c r="O108" s="41"/>
      <c r="P108" s="50"/>
      <c r="Q108" s="51"/>
      <c r="R108" s="52"/>
      <c r="S108" s="50"/>
      <c r="T108" s="50"/>
      <c r="U108" s="34"/>
      <c r="V108" s="164"/>
      <c r="W108" s="47"/>
      <c r="X108" s="139">
        <v>13</v>
      </c>
    </row>
    <row r="109" spans="1:24" s="157" customFormat="1" ht="131.25" customHeight="1" x14ac:dyDescent="0.25">
      <c r="A109" s="33">
        <v>11</v>
      </c>
      <c r="B109" s="34"/>
      <c r="C109" s="34"/>
      <c r="D109" s="34" t="s">
        <v>59</v>
      </c>
      <c r="E109" s="55" t="s">
        <v>29</v>
      </c>
      <c r="F109" s="56">
        <v>44221</v>
      </c>
      <c r="G109" s="57" t="s">
        <v>230</v>
      </c>
      <c r="H109" s="58">
        <v>422550</v>
      </c>
      <c r="I109" s="39">
        <f>IF(X109 = 14, H109 + SUM(S109:S112) - SUM(T109:T112) - SUM(P109:P112) - V109,0)</f>
        <v>1.4551915228366852E-11</v>
      </c>
      <c r="J109" s="163">
        <v>2353020735</v>
      </c>
      <c r="K109" s="57" t="s">
        <v>231</v>
      </c>
      <c r="L109" s="34"/>
      <c r="M109" s="34" t="s">
        <v>202</v>
      </c>
      <c r="N109" s="40">
        <v>44218</v>
      </c>
      <c r="O109" s="41" t="s">
        <v>80</v>
      </c>
      <c r="P109" s="42">
        <v>20819.86</v>
      </c>
      <c r="Q109" s="43">
        <v>44251</v>
      </c>
      <c r="R109" s="44"/>
      <c r="S109" s="42"/>
      <c r="T109" s="42"/>
      <c r="U109" s="34" t="s">
        <v>232</v>
      </c>
      <c r="V109" s="156">
        <v>75559.259999999995</v>
      </c>
      <c r="W109" s="47"/>
      <c r="X109" s="157">
        <v>14</v>
      </c>
    </row>
    <row r="110" spans="1:24" s="139" customFormat="1" x14ac:dyDescent="0.25">
      <c r="A110" s="33"/>
      <c r="B110" s="34"/>
      <c r="C110" s="34"/>
      <c r="D110" s="34"/>
      <c r="E110" s="55"/>
      <c r="F110" s="56"/>
      <c r="G110" s="57"/>
      <c r="H110" s="58"/>
      <c r="I110" s="39"/>
      <c r="J110" s="163"/>
      <c r="K110" s="57"/>
      <c r="L110" s="34"/>
      <c r="M110" s="34"/>
      <c r="N110" s="49">
        <v>44229</v>
      </c>
      <c r="O110" s="41"/>
      <c r="P110" s="50">
        <v>326170.88</v>
      </c>
      <c r="Q110" s="51">
        <v>44251</v>
      </c>
      <c r="R110" s="52"/>
      <c r="S110" s="50"/>
      <c r="T110" s="50"/>
      <c r="U110" s="34"/>
      <c r="V110" s="156"/>
      <c r="W110" s="47"/>
      <c r="X110" s="139">
        <v>14</v>
      </c>
    </row>
    <row r="111" spans="1:24" s="139" customFormat="1" x14ac:dyDescent="0.25">
      <c r="A111" s="33"/>
      <c r="B111" s="34"/>
      <c r="C111" s="34"/>
      <c r="D111" s="34"/>
      <c r="E111" s="55"/>
      <c r="F111" s="56"/>
      <c r="G111" s="57"/>
      <c r="H111" s="58"/>
      <c r="I111" s="39"/>
      <c r="J111" s="163"/>
      <c r="K111" s="57"/>
      <c r="L111" s="34"/>
      <c r="M111" s="34"/>
      <c r="N111" s="49"/>
      <c r="O111" s="41"/>
      <c r="P111" s="50"/>
      <c r="Q111" s="51"/>
      <c r="R111" s="52"/>
      <c r="S111" s="50"/>
      <c r="T111" s="50"/>
      <c r="U111" s="34"/>
      <c r="V111" s="156"/>
      <c r="W111" s="47"/>
      <c r="X111" s="139">
        <v>14</v>
      </c>
    </row>
    <row r="112" spans="1:24" s="139" customFormat="1" x14ac:dyDescent="0.25">
      <c r="A112" s="33"/>
      <c r="B112" s="34"/>
      <c r="C112" s="34"/>
      <c r="D112" s="34"/>
      <c r="E112" s="55"/>
      <c r="F112" s="56"/>
      <c r="G112" s="57"/>
      <c r="H112" s="58"/>
      <c r="I112" s="39"/>
      <c r="J112" s="163"/>
      <c r="K112" s="57"/>
      <c r="L112" s="34"/>
      <c r="M112" s="34"/>
      <c r="N112" s="49"/>
      <c r="O112" s="41"/>
      <c r="P112" s="50"/>
      <c r="Q112" s="51"/>
      <c r="R112" s="52"/>
      <c r="S112" s="50"/>
      <c r="T112" s="50"/>
      <c r="U112" s="34"/>
      <c r="V112" s="156"/>
      <c r="W112" s="47"/>
      <c r="X112" s="139">
        <v>14</v>
      </c>
    </row>
    <row r="113" spans="1:24" s="157" customFormat="1" ht="131.25" customHeight="1" x14ac:dyDescent="0.25">
      <c r="A113" s="33">
        <v>12</v>
      </c>
      <c r="B113" s="34"/>
      <c r="C113" s="34"/>
      <c r="D113" s="34" t="s">
        <v>59</v>
      </c>
      <c r="E113" s="165" t="s">
        <v>30</v>
      </c>
      <c r="F113" s="56">
        <v>44221</v>
      </c>
      <c r="G113" s="57" t="s">
        <v>233</v>
      </c>
      <c r="H113" s="58">
        <v>69955</v>
      </c>
      <c r="I113" s="39">
        <f>IF(X113 = 15, H113 + SUM(S113:S118) - SUM(T113:T118) - SUM(P113:P118) - V113,0)</f>
        <v>0</v>
      </c>
      <c r="J113" s="163">
        <v>2353020735</v>
      </c>
      <c r="K113" s="57" t="s">
        <v>231</v>
      </c>
      <c r="L113" s="34"/>
      <c r="M113" s="34" t="s">
        <v>202</v>
      </c>
      <c r="N113" s="40">
        <v>44225</v>
      </c>
      <c r="O113" s="41" t="s">
        <v>80</v>
      </c>
      <c r="P113" s="42">
        <v>10208</v>
      </c>
      <c r="Q113" s="43">
        <v>44238</v>
      </c>
      <c r="R113" s="44"/>
      <c r="S113" s="42"/>
      <c r="T113" s="42"/>
      <c r="U113" s="34" t="s">
        <v>227</v>
      </c>
      <c r="V113" s="156">
        <v>21329</v>
      </c>
      <c r="W113" s="47"/>
      <c r="X113" s="157">
        <v>15</v>
      </c>
    </row>
    <row r="114" spans="1:24" s="139" customFormat="1" x14ac:dyDescent="0.25">
      <c r="A114" s="33"/>
      <c r="B114" s="34"/>
      <c r="C114" s="34"/>
      <c r="D114" s="34"/>
      <c r="E114" s="165"/>
      <c r="F114" s="56"/>
      <c r="G114" s="57"/>
      <c r="H114" s="58"/>
      <c r="I114" s="39"/>
      <c r="J114" s="163"/>
      <c r="K114" s="57"/>
      <c r="L114" s="34"/>
      <c r="M114" s="34"/>
      <c r="N114" s="49">
        <v>44253</v>
      </c>
      <c r="O114" s="41"/>
      <c r="P114" s="50">
        <v>10917</v>
      </c>
      <c r="Q114" s="51">
        <v>44267</v>
      </c>
      <c r="R114" s="52"/>
      <c r="S114" s="50"/>
      <c r="T114" s="50"/>
      <c r="U114" s="34"/>
      <c r="V114" s="156"/>
      <c r="W114" s="47"/>
      <c r="X114" s="139">
        <v>15</v>
      </c>
    </row>
    <row r="115" spans="1:24" s="139" customFormat="1" x14ac:dyDescent="0.25">
      <c r="A115" s="33"/>
      <c r="B115" s="34"/>
      <c r="C115" s="34"/>
      <c r="D115" s="34"/>
      <c r="E115" s="165"/>
      <c r="F115" s="56"/>
      <c r="G115" s="57"/>
      <c r="H115" s="58"/>
      <c r="I115" s="39"/>
      <c r="J115" s="163"/>
      <c r="K115" s="57"/>
      <c r="L115" s="34"/>
      <c r="M115" s="34"/>
      <c r="N115" s="49">
        <v>44286</v>
      </c>
      <c r="O115" s="41"/>
      <c r="P115" s="166">
        <v>10545</v>
      </c>
      <c r="Q115" s="167">
        <v>44298</v>
      </c>
      <c r="R115" s="52"/>
      <c r="S115" s="50"/>
      <c r="T115" s="50"/>
      <c r="U115" s="34"/>
      <c r="V115" s="156"/>
      <c r="W115" s="47"/>
      <c r="X115" s="139">
        <v>15</v>
      </c>
    </row>
    <row r="116" spans="1:24" s="139" customFormat="1" x14ac:dyDescent="0.25">
      <c r="A116" s="33"/>
      <c r="B116" s="34"/>
      <c r="C116" s="34"/>
      <c r="D116" s="34"/>
      <c r="E116" s="165"/>
      <c r="F116" s="56"/>
      <c r="G116" s="57"/>
      <c r="H116" s="58"/>
      <c r="I116" s="39"/>
      <c r="J116" s="163"/>
      <c r="K116" s="57"/>
      <c r="L116" s="34"/>
      <c r="M116" s="34"/>
      <c r="N116" s="49">
        <v>44316</v>
      </c>
      <c r="O116" s="41"/>
      <c r="P116" s="50">
        <v>13720</v>
      </c>
      <c r="Q116" s="51">
        <v>44336</v>
      </c>
      <c r="R116" s="52"/>
      <c r="S116" s="50"/>
      <c r="T116" s="50"/>
      <c r="U116" s="34"/>
      <c r="V116" s="156"/>
      <c r="W116" s="47"/>
      <c r="X116" s="139">
        <v>15</v>
      </c>
    </row>
    <row r="117" spans="1:24" s="139" customFormat="1" x14ac:dyDescent="0.25">
      <c r="A117" s="33"/>
      <c r="B117" s="34"/>
      <c r="C117" s="34"/>
      <c r="D117" s="34"/>
      <c r="E117" s="165"/>
      <c r="F117" s="56"/>
      <c r="G117" s="57"/>
      <c r="H117" s="58"/>
      <c r="I117" s="39"/>
      <c r="J117" s="163"/>
      <c r="K117" s="57"/>
      <c r="L117" s="34"/>
      <c r="M117" s="34"/>
      <c r="N117" s="49">
        <v>44221</v>
      </c>
      <c r="O117" s="41"/>
      <c r="P117" s="50">
        <v>3236</v>
      </c>
      <c r="Q117" s="51">
        <v>44354</v>
      </c>
      <c r="R117" s="52"/>
      <c r="S117" s="50"/>
      <c r="T117" s="50"/>
      <c r="U117" s="34"/>
      <c r="V117" s="156"/>
      <c r="W117" s="47"/>
      <c r="X117" s="139">
        <v>15</v>
      </c>
    </row>
    <row r="118" spans="1:24" s="139" customFormat="1" x14ac:dyDescent="0.25">
      <c r="A118" s="33"/>
      <c r="B118" s="34"/>
      <c r="C118" s="34"/>
      <c r="D118" s="34"/>
      <c r="E118" s="165"/>
      <c r="F118" s="56"/>
      <c r="G118" s="57"/>
      <c r="H118" s="58"/>
      <c r="I118" s="39"/>
      <c r="J118" s="163"/>
      <c r="K118" s="57"/>
      <c r="L118" s="34"/>
      <c r="M118" s="34"/>
      <c r="N118" s="49"/>
      <c r="O118" s="41"/>
      <c r="P118" s="50"/>
      <c r="Q118" s="51"/>
      <c r="R118" s="52"/>
      <c r="S118" s="50"/>
      <c r="T118" s="50"/>
      <c r="U118" s="34"/>
      <c r="V118" s="156"/>
      <c r="W118" s="47"/>
      <c r="X118" s="139">
        <v>15</v>
      </c>
    </row>
    <row r="119" spans="1:24" s="157" customFormat="1" ht="131.25" customHeight="1" x14ac:dyDescent="0.25">
      <c r="A119" s="33">
        <v>13</v>
      </c>
      <c r="B119" s="34"/>
      <c r="C119" s="34"/>
      <c r="D119" s="34" t="s">
        <v>59</v>
      </c>
      <c r="E119" s="55" t="s">
        <v>31</v>
      </c>
      <c r="F119" s="56">
        <v>44221</v>
      </c>
      <c r="G119" s="57" t="s">
        <v>234</v>
      </c>
      <c r="H119" s="58">
        <v>549994.5</v>
      </c>
      <c r="I119" s="168">
        <f>IF(X119 = 16, H119 + SUM(S119:S121) - SUM(T119:T121) - SUM(P119:P121) - V119,0)</f>
        <v>343579.5</v>
      </c>
      <c r="J119" s="163">
        <v>2353020735</v>
      </c>
      <c r="K119" s="57" t="s">
        <v>231</v>
      </c>
      <c r="L119" s="34"/>
      <c r="M119" s="34" t="s">
        <v>202</v>
      </c>
      <c r="N119" s="40">
        <v>44225</v>
      </c>
      <c r="O119" s="41" t="s">
        <v>80</v>
      </c>
      <c r="P119" s="42">
        <v>97284</v>
      </c>
      <c r="Q119" s="43">
        <v>44256</v>
      </c>
      <c r="R119" s="44"/>
      <c r="S119" s="42"/>
      <c r="T119" s="42"/>
      <c r="U119" s="45"/>
      <c r="V119" s="156"/>
      <c r="W119" s="47"/>
      <c r="X119" s="157">
        <v>16</v>
      </c>
    </row>
    <row r="120" spans="1:24" s="139" customFormat="1" x14ac:dyDescent="0.25">
      <c r="A120" s="33"/>
      <c r="B120" s="34"/>
      <c r="C120" s="34"/>
      <c r="D120" s="34"/>
      <c r="E120" s="55"/>
      <c r="F120" s="56"/>
      <c r="G120" s="57"/>
      <c r="H120" s="58"/>
      <c r="I120" s="168"/>
      <c r="J120" s="163"/>
      <c r="K120" s="57"/>
      <c r="L120" s="34"/>
      <c r="M120" s="34"/>
      <c r="N120" s="49">
        <v>44253</v>
      </c>
      <c r="O120" s="41"/>
      <c r="P120" s="50">
        <v>109131</v>
      </c>
      <c r="Q120" s="51">
        <v>44267</v>
      </c>
      <c r="R120" s="52"/>
      <c r="S120" s="50"/>
      <c r="T120" s="50"/>
      <c r="U120" s="45"/>
      <c r="V120" s="156"/>
      <c r="W120" s="47"/>
      <c r="X120" s="139">
        <v>16</v>
      </c>
    </row>
    <row r="121" spans="1:24" s="139" customFormat="1" x14ac:dyDescent="0.25">
      <c r="A121" s="33"/>
      <c r="B121" s="34"/>
      <c r="C121" s="34"/>
      <c r="D121" s="34"/>
      <c r="E121" s="55"/>
      <c r="F121" s="56"/>
      <c r="G121" s="57"/>
      <c r="H121" s="58"/>
      <c r="I121" s="168"/>
      <c r="J121" s="163"/>
      <c r="K121" s="57"/>
      <c r="L121" s="34"/>
      <c r="M121" s="34"/>
      <c r="N121" s="49"/>
      <c r="O121" s="41"/>
      <c r="P121" s="50"/>
      <c r="Q121" s="51"/>
      <c r="R121" s="52"/>
      <c r="S121" s="50"/>
      <c r="T121" s="50"/>
      <c r="U121" s="45"/>
      <c r="V121" s="156"/>
      <c r="W121" s="47"/>
      <c r="X121" s="139">
        <v>16</v>
      </c>
    </row>
    <row r="122" spans="1:24" s="157" customFormat="1" ht="131.25" customHeight="1" x14ac:dyDescent="0.25">
      <c r="A122" s="33">
        <v>14</v>
      </c>
      <c r="B122" s="34"/>
      <c r="C122" s="34"/>
      <c r="D122" s="34" t="s">
        <v>59</v>
      </c>
      <c r="E122" s="165" t="s">
        <v>32</v>
      </c>
      <c r="F122" s="56">
        <v>44228</v>
      </c>
      <c r="G122" s="57" t="s">
        <v>235</v>
      </c>
      <c r="H122" s="58">
        <v>391060.1</v>
      </c>
      <c r="I122" s="39">
        <f>IF(X122 = 17, H122 + SUM(S122:S127) - SUM(T122:T127) - SUM(P122:P127) - V122,0)</f>
        <v>-5.8207660913467407E-11</v>
      </c>
      <c r="J122" s="163">
        <v>2353020735</v>
      </c>
      <c r="K122" s="57" t="s">
        <v>231</v>
      </c>
      <c r="L122" s="34"/>
      <c r="M122" s="34" t="s">
        <v>202</v>
      </c>
      <c r="N122" s="40">
        <v>44232</v>
      </c>
      <c r="O122" s="41" t="s">
        <v>80</v>
      </c>
      <c r="P122" s="42">
        <v>6619.9</v>
      </c>
      <c r="Q122" s="43">
        <v>44274</v>
      </c>
      <c r="R122" s="44"/>
      <c r="S122" s="42"/>
      <c r="T122" s="42"/>
      <c r="U122" s="45"/>
      <c r="V122" s="156"/>
      <c r="W122" s="47"/>
      <c r="X122" s="157">
        <v>17</v>
      </c>
    </row>
    <row r="123" spans="1:24" s="139" customFormat="1" x14ac:dyDescent="0.25">
      <c r="A123" s="33"/>
      <c r="B123" s="34"/>
      <c r="C123" s="34"/>
      <c r="D123" s="34"/>
      <c r="E123" s="165"/>
      <c r="F123" s="56"/>
      <c r="G123" s="57"/>
      <c r="H123" s="58"/>
      <c r="I123" s="39"/>
      <c r="J123" s="163"/>
      <c r="K123" s="57"/>
      <c r="L123" s="34"/>
      <c r="M123" s="34"/>
      <c r="N123" s="49">
        <v>44246</v>
      </c>
      <c r="O123" s="41"/>
      <c r="P123" s="50">
        <v>11821.11</v>
      </c>
      <c r="Q123" s="51">
        <v>44274</v>
      </c>
      <c r="R123" s="52"/>
      <c r="S123" s="50"/>
      <c r="T123" s="50"/>
      <c r="U123" s="45"/>
      <c r="V123" s="156"/>
      <c r="W123" s="47"/>
      <c r="X123" s="139">
        <v>17</v>
      </c>
    </row>
    <row r="124" spans="1:24" s="139" customFormat="1" ht="35.25" customHeight="1" x14ac:dyDescent="0.25">
      <c r="A124" s="33"/>
      <c r="B124" s="34"/>
      <c r="C124" s="34"/>
      <c r="D124" s="34"/>
      <c r="E124" s="165"/>
      <c r="F124" s="56"/>
      <c r="G124" s="57"/>
      <c r="H124" s="58"/>
      <c r="I124" s="39"/>
      <c r="J124" s="163"/>
      <c r="K124" s="57"/>
      <c r="L124" s="34"/>
      <c r="M124" s="34"/>
      <c r="N124" s="49">
        <v>44253</v>
      </c>
      <c r="O124" s="41"/>
      <c r="P124" s="50">
        <v>5023.0600000000004</v>
      </c>
      <c r="Q124" s="51">
        <v>44274</v>
      </c>
      <c r="R124" s="52"/>
      <c r="S124" s="50"/>
      <c r="T124" s="50"/>
      <c r="U124" s="45"/>
      <c r="V124" s="156"/>
      <c r="W124" s="47"/>
      <c r="X124" s="139">
        <v>17</v>
      </c>
    </row>
    <row r="125" spans="1:24" s="139" customFormat="1" ht="32.25" customHeight="1" x14ac:dyDescent="0.25">
      <c r="A125" s="33"/>
      <c r="B125" s="34"/>
      <c r="C125" s="34"/>
      <c r="D125" s="34"/>
      <c r="E125" s="165"/>
      <c r="F125" s="56"/>
      <c r="G125" s="57"/>
      <c r="H125" s="58"/>
      <c r="I125" s="39"/>
      <c r="J125" s="163"/>
      <c r="K125" s="57"/>
      <c r="L125" s="34"/>
      <c r="M125" s="34"/>
      <c r="N125" s="49">
        <v>44232</v>
      </c>
      <c r="O125" s="41"/>
      <c r="P125" s="50">
        <v>103709.66</v>
      </c>
      <c r="Q125" s="51">
        <v>44274</v>
      </c>
      <c r="R125" s="52"/>
      <c r="S125" s="50"/>
      <c r="T125" s="50"/>
      <c r="U125" s="45"/>
      <c r="V125" s="156"/>
      <c r="W125" s="47"/>
      <c r="X125" s="139">
        <v>17</v>
      </c>
    </row>
    <row r="126" spans="1:24" s="139" customFormat="1" ht="27.75" customHeight="1" x14ac:dyDescent="0.25">
      <c r="A126" s="33"/>
      <c r="B126" s="34"/>
      <c r="C126" s="34"/>
      <c r="D126" s="34"/>
      <c r="E126" s="165"/>
      <c r="F126" s="56"/>
      <c r="G126" s="57"/>
      <c r="H126" s="58"/>
      <c r="I126" s="39"/>
      <c r="J126" s="163"/>
      <c r="K126" s="57"/>
      <c r="L126" s="34"/>
      <c r="M126" s="34"/>
      <c r="N126" s="49">
        <v>44246</v>
      </c>
      <c r="O126" s="41"/>
      <c r="P126" s="50">
        <v>185193.43</v>
      </c>
      <c r="Q126" s="51">
        <v>44274</v>
      </c>
      <c r="R126" s="52"/>
      <c r="S126" s="50"/>
      <c r="T126" s="50"/>
      <c r="U126" s="45"/>
      <c r="V126" s="156"/>
      <c r="W126" s="47"/>
      <c r="X126" s="139">
        <v>17</v>
      </c>
    </row>
    <row r="127" spans="1:24" s="139" customFormat="1" ht="30.75" customHeight="1" x14ac:dyDescent="0.25">
      <c r="A127" s="33"/>
      <c r="B127" s="34"/>
      <c r="C127" s="34"/>
      <c r="D127" s="34"/>
      <c r="E127" s="165"/>
      <c r="F127" s="56"/>
      <c r="G127" s="57"/>
      <c r="H127" s="58"/>
      <c r="I127" s="39"/>
      <c r="J127" s="163"/>
      <c r="K127" s="57"/>
      <c r="L127" s="34"/>
      <c r="M127" s="34"/>
      <c r="N127" s="49">
        <v>44253</v>
      </c>
      <c r="O127" s="41"/>
      <c r="P127" s="50">
        <v>78692.94</v>
      </c>
      <c r="Q127" s="51">
        <v>44274</v>
      </c>
      <c r="R127" s="52"/>
      <c r="S127" s="50"/>
      <c r="T127" s="50"/>
      <c r="U127" s="45"/>
      <c r="V127" s="156"/>
      <c r="W127" s="47"/>
      <c r="X127" s="139">
        <v>17</v>
      </c>
    </row>
    <row r="128" spans="1:24" s="157" customFormat="1" ht="131.25" x14ac:dyDescent="0.3">
      <c r="A128" s="62">
        <v>15</v>
      </c>
      <c r="B128" s="44"/>
      <c r="C128" s="44"/>
      <c r="D128" s="44" t="s">
        <v>59</v>
      </c>
      <c r="E128" s="63" t="s">
        <v>236</v>
      </c>
      <c r="F128" s="71">
        <v>44243</v>
      </c>
      <c r="G128" s="65" t="s">
        <v>237</v>
      </c>
      <c r="H128" s="73">
        <v>3798</v>
      </c>
      <c r="I128" s="67">
        <f>IF(X128 = 18, H128 + SUM(S128:S128) - SUM(T128:T128) - SUM(P128:P128) - V128,0)</f>
        <v>0</v>
      </c>
      <c r="J128" s="169"/>
      <c r="K128" s="65" t="s">
        <v>238</v>
      </c>
      <c r="L128" s="44"/>
      <c r="M128" s="44"/>
      <c r="N128" s="40">
        <v>44281</v>
      </c>
      <c r="O128" s="68" t="s">
        <v>80</v>
      </c>
      <c r="P128" s="42">
        <v>3798</v>
      </c>
      <c r="Q128" s="43">
        <v>44294</v>
      </c>
      <c r="R128" s="44"/>
      <c r="S128" s="42"/>
      <c r="T128" s="42"/>
      <c r="U128" s="42"/>
      <c r="V128" s="170"/>
      <c r="W128" s="70"/>
      <c r="X128" s="157">
        <v>18</v>
      </c>
    </row>
    <row r="129" spans="1:24" s="157" customFormat="1" ht="131.25" x14ac:dyDescent="0.3">
      <c r="A129" s="62">
        <v>16</v>
      </c>
      <c r="B129" s="44"/>
      <c r="C129" s="44"/>
      <c r="D129" s="44" t="s">
        <v>59</v>
      </c>
      <c r="E129" s="63" t="s">
        <v>239</v>
      </c>
      <c r="F129" s="71">
        <v>44243</v>
      </c>
      <c r="G129" s="65" t="s">
        <v>237</v>
      </c>
      <c r="H129" s="66">
        <v>163026</v>
      </c>
      <c r="I129" s="67">
        <f>IF(X129 = 19, H129 + SUM(S129:S129) - SUM(T129:T129) - SUM(P129:P129) - V129,0)</f>
        <v>0</v>
      </c>
      <c r="J129" s="169"/>
      <c r="K129" s="65" t="s">
        <v>238</v>
      </c>
      <c r="L129" s="44"/>
      <c r="M129" s="44"/>
      <c r="N129" s="40">
        <v>44281</v>
      </c>
      <c r="O129" s="68" t="s">
        <v>80</v>
      </c>
      <c r="P129" s="42">
        <v>163026</v>
      </c>
      <c r="Q129" s="43">
        <v>44294</v>
      </c>
      <c r="R129" s="44"/>
      <c r="S129" s="42"/>
      <c r="T129" s="42"/>
      <c r="U129" s="42"/>
      <c r="V129" s="170"/>
      <c r="W129" s="70"/>
      <c r="X129" s="157">
        <v>19</v>
      </c>
    </row>
    <row r="130" spans="1:24" s="157" customFormat="1" ht="50.25" customHeight="1" x14ac:dyDescent="0.25">
      <c r="A130" s="33">
        <v>17</v>
      </c>
      <c r="B130" s="34"/>
      <c r="C130" s="34"/>
      <c r="D130" s="34" t="s">
        <v>59</v>
      </c>
      <c r="E130" s="55" t="s">
        <v>34</v>
      </c>
      <c r="F130" s="56">
        <v>44258</v>
      </c>
      <c r="G130" s="57" t="s">
        <v>240</v>
      </c>
      <c r="H130" s="58">
        <v>410448.28</v>
      </c>
      <c r="I130" s="39">
        <f>IF(X130 = 21, H130 + SUM(S130:S137) - SUM(T130:T137) - SUM(P130:P137) - V130,0)</f>
        <v>5.8207660913467407E-11</v>
      </c>
      <c r="J130" s="163"/>
      <c r="K130" s="57" t="s">
        <v>241</v>
      </c>
      <c r="L130" s="34"/>
      <c r="M130" s="34"/>
      <c r="N130" s="40">
        <v>44274</v>
      </c>
      <c r="O130" s="41" t="s">
        <v>80</v>
      </c>
      <c r="P130" s="42">
        <v>12930.93</v>
      </c>
      <c r="Q130" s="43">
        <v>44307</v>
      </c>
      <c r="R130" s="44"/>
      <c r="S130" s="42"/>
      <c r="T130" s="42"/>
      <c r="U130" s="45"/>
      <c r="V130" s="156"/>
      <c r="W130" s="47"/>
      <c r="X130" s="157">
        <v>21</v>
      </c>
    </row>
    <row r="131" spans="1:24" s="139" customFormat="1" ht="35.25" customHeight="1" x14ac:dyDescent="0.25">
      <c r="A131" s="33"/>
      <c r="B131" s="34"/>
      <c r="C131" s="34"/>
      <c r="D131" s="34"/>
      <c r="E131" s="55"/>
      <c r="F131" s="56"/>
      <c r="G131" s="57"/>
      <c r="H131" s="58"/>
      <c r="I131" s="39"/>
      <c r="J131" s="163"/>
      <c r="K131" s="57"/>
      <c r="L131" s="34"/>
      <c r="M131" s="34"/>
      <c r="N131" s="40">
        <v>44274</v>
      </c>
      <c r="O131" s="41"/>
      <c r="P131" s="50">
        <v>202580.31</v>
      </c>
      <c r="Q131" s="51">
        <v>44307</v>
      </c>
      <c r="R131" s="52"/>
      <c r="S131" s="50"/>
      <c r="T131" s="50"/>
      <c r="U131" s="45"/>
      <c r="V131" s="156"/>
      <c r="W131" s="47"/>
      <c r="X131" s="139">
        <v>21</v>
      </c>
    </row>
    <row r="132" spans="1:24" s="139" customFormat="1" ht="29.25" customHeight="1" x14ac:dyDescent="0.25">
      <c r="A132" s="33"/>
      <c r="B132" s="34"/>
      <c r="C132" s="34"/>
      <c r="D132" s="34"/>
      <c r="E132" s="55"/>
      <c r="F132" s="56"/>
      <c r="G132" s="57"/>
      <c r="H132" s="58"/>
      <c r="I132" s="39"/>
      <c r="J132" s="163"/>
      <c r="K132" s="57"/>
      <c r="L132" s="34"/>
      <c r="M132" s="34"/>
      <c r="N132" s="49">
        <v>44260</v>
      </c>
      <c r="O132" s="41"/>
      <c r="P132" s="50">
        <v>7208.03</v>
      </c>
      <c r="Q132" s="51">
        <v>44307</v>
      </c>
      <c r="R132" s="52"/>
      <c r="S132" s="50"/>
      <c r="T132" s="50"/>
      <c r="U132" s="45"/>
      <c r="V132" s="156"/>
      <c r="W132" s="47"/>
      <c r="X132" s="139">
        <v>21</v>
      </c>
    </row>
    <row r="133" spans="1:24" s="139" customFormat="1" x14ac:dyDescent="0.25">
      <c r="A133" s="33"/>
      <c r="B133" s="34"/>
      <c r="C133" s="34"/>
      <c r="D133" s="34"/>
      <c r="E133" s="55"/>
      <c r="F133" s="56"/>
      <c r="G133" s="57"/>
      <c r="H133" s="58"/>
      <c r="I133" s="39"/>
      <c r="J133" s="163"/>
      <c r="K133" s="57"/>
      <c r="L133" s="34"/>
      <c r="M133" s="34"/>
      <c r="N133" s="49">
        <v>44260</v>
      </c>
      <c r="O133" s="41"/>
      <c r="P133" s="50">
        <v>112923.39</v>
      </c>
      <c r="Q133" s="51">
        <v>44307</v>
      </c>
      <c r="R133" s="52"/>
      <c r="S133" s="50"/>
      <c r="T133" s="50"/>
      <c r="U133" s="45"/>
      <c r="V133" s="156"/>
      <c r="W133" s="47"/>
      <c r="X133" s="139">
        <v>21</v>
      </c>
    </row>
    <row r="134" spans="1:24" s="139" customFormat="1" x14ac:dyDescent="0.25">
      <c r="A134" s="33"/>
      <c r="B134" s="34"/>
      <c r="C134" s="34"/>
      <c r="D134" s="34"/>
      <c r="E134" s="55"/>
      <c r="F134" s="56"/>
      <c r="G134" s="57"/>
      <c r="H134" s="58"/>
      <c r="I134" s="39"/>
      <c r="J134" s="163"/>
      <c r="K134" s="57"/>
      <c r="L134" s="34"/>
      <c r="M134" s="34"/>
      <c r="N134" s="49">
        <v>44286</v>
      </c>
      <c r="O134" s="41"/>
      <c r="P134" s="50">
        <v>4488.43</v>
      </c>
      <c r="Q134" s="51">
        <v>44307</v>
      </c>
      <c r="R134" s="52"/>
      <c r="S134" s="50"/>
      <c r="T134" s="50"/>
      <c r="U134" s="45"/>
      <c r="V134" s="156"/>
      <c r="W134" s="47"/>
      <c r="X134" s="139">
        <v>21</v>
      </c>
    </row>
    <row r="135" spans="1:24" s="139" customFormat="1" x14ac:dyDescent="0.25">
      <c r="A135" s="33"/>
      <c r="B135" s="34"/>
      <c r="C135" s="34"/>
      <c r="D135" s="34"/>
      <c r="E135" s="55"/>
      <c r="F135" s="56"/>
      <c r="G135" s="57"/>
      <c r="H135" s="58"/>
      <c r="I135" s="39"/>
      <c r="J135" s="163"/>
      <c r="K135" s="57"/>
      <c r="L135" s="34"/>
      <c r="M135" s="34"/>
      <c r="N135" s="49">
        <v>44286</v>
      </c>
      <c r="O135" s="41"/>
      <c r="P135" s="50">
        <v>70317.19</v>
      </c>
      <c r="Q135" s="51">
        <v>44307</v>
      </c>
      <c r="R135" s="52"/>
      <c r="S135" s="50"/>
      <c r="T135" s="50"/>
      <c r="U135" s="45"/>
      <c r="V135" s="156"/>
      <c r="W135" s="47"/>
      <c r="X135" s="139">
        <v>21</v>
      </c>
    </row>
    <row r="136" spans="1:24" s="139" customFormat="1" x14ac:dyDescent="0.25">
      <c r="A136" s="33"/>
      <c r="B136" s="34"/>
      <c r="C136" s="34"/>
      <c r="D136" s="34"/>
      <c r="E136" s="55"/>
      <c r="F136" s="56"/>
      <c r="G136" s="57"/>
      <c r="H136" s="58"/>
      <c r="I136" s="39"/>
      <c r="J136" s="163"/>
      <c r="K136" s="57"/>
      <c r="L136" s="34"/>
      <c r="M136" s="34"/>
      <c r="N136" s="49"/>
      <c r="O136" s="41"/>
      <c r="P136" s="50"/>
      <c r="Q136" s="51"/>
      <c r="R136" s="52"/>
      <c r="S136" s="50"/>
      <c r="T136" s="50"/>
      <c r="U136" s="45"/>
      <c r="V136" s="156"/>
      <c r="W136" s="47"/>
      <c r="X136" s="139">
        <v>21</v>
      </c>
    </row>
    <row r="137" spans="1:24" s="139" customFormat="1" x14ac:dyDescent="0.25">
      <c r="A137" s="33"/>
      <c r="B137" s="34"/>
      <c r="C137" s="34"/>
      <c r="D137" s="34"/>
      <c r="E137" s="55"/>
      <c r="F137" s="56"/>
      <c r="G137" s="57"/>
      <c r="H137" s="58"/>
      <c r="I137" s="39"/>
      <c r="J137" s="163"/>
      <c r="K137" s="57"/>
      <c r="L137" s="34"/>
      <c r="M137" s="34"/>
      <c r="N137" s="49"/>
      <c r="O137" s="41"/>
      <c r="P137" s="50"/>
      <c r="Q137" s="51"/>
      <c r="R137" s="52"/>
      <c r="S137" s="50"/>
      <c r="T137" s="50"/>
      <c r="U137" s="45"/>
      <c r="V137" s="156"/>
      <c r="W137" s="47"/>
      <c r="X137" s="139">
        <v>21</v>
      </c>
    </row>
    <row r="138" spans="1:24" s="157" customFormat="1" ht="116.25" customHeight="1" x14ac:dyDescent="0.25">
      <c r="A138" s="62">
        <v>18</v>
      </c>
      <c r="B138" s="44"/>
      <c r="C138" s="44"/>
      <c r="D138" s="44" t="s">
        <v>59</v>
      </c>
      <c r="E138" s="44" t="s">
        <v>35</v>
      </c>
      <c r="F138" s="40">
        <v>44258</v>
      </c>
      <c r="G138" s="43" t="s">
        <v>242</v>
      </c>
      <c r="H138" s="106">
        <v>131594</v>
      </c>
      <c r="I138" s="67">
        <f>IF(X138 = 22, H138 + SUM(S138:S138) - SUM(T138:T138) - SUM(P138:P138) - V138,0)</f>
        <v>0</v>
      </c>
      <c r="J138" s="169"/>
      <c r="K138" s="171" t="s">
        <v>241</v>
      </c>
      <c r="L138" s="44"/>
      <c r="M138" s="44"/>
      <c r="N138" s="40">
        <v>44286</v>
      </c>
      <c r="O138" s="68" t="s">
        <v>80</v>
      </c>
      <c r="P138" s="42">
        <v>131594</v>
      </c>
      <c r="Q138" s="43">
        <v>44298</v>
      </c>
      <c r="R138" s="44"/>
      <c r="S138" s="42"/>
      <c r="T138" s="42"/>
      <c r="U138" s="42"/>
      <c r="V138" s="170"/>
      <c r="W138" s="70"/>
      <c r="X138" s="157">
        <v>22</v>
      </c>
    </row>
    <row r="139" spans="1:24" s="157" customFormat="1" ht="93.75" customHeight="1" x14ac:dyDescent="0.25">
      <c r="A139" s="33">
        <v>19</v>
      </c>
      <c r="B139" s="34"/>
      <c r="C139" s="34"/>
      <c r="D139" s="34" t="s">
        <v>59</v>
      </c>
      <c r="E139" s="55" t="s">
        <v>243</v>
      </c>
      <c r="F139" s="56">
        <v>44272</v>
      </c>
      <c r="G139" s="57" t="s">
        <v>244</v>
      </c>
      <c r="H139" s="58">
        <v>21005.599999999999</v>
      </c>
      <c r="I139" s="39">
        <f>IF(X139 = 23, H139 + SUM(S139:S140) - SUM(T139:T140) - SUM(P139:P140) - V139,0)</f>
        <v>-3884.6800000000003</v>
      </c>
      <c r="J139" s="163"/>
      <c r="K139" s="57" t="s">
        <v>245</v>
      </c>
      <c r="L139" s="34"/>
      <c r="M139" s="34"/>
      <c r="N139" s="40">
        <v>44316</v>
      </c>
      <c r="O139" s="41" t="s">
        <v>80</v>
      </c>
      <c r="P139" s="42">
        <v>13886.28</v>
      </c>
      <c r="Q139" s="43">
        <v>44365</v>
      </c>
      <c r="R139" s="44"/>
      <c r="S139" s="42"/>
      <c r="T139" s="42"/>
      <c r="U139" s="45"/>
      <c r="V139" s="156"/>
      <c r="W139" s="47"/>
      <c r="X139" s="157">
        <v>23</v>
      </c>
    </row>
    <row r="140" spans="1:24" s="139" customFormat="1" ht="24.75" customHeight="1" x14ac:dyDescent="0.25">
      <c r="A140" s="33"/>
      <c r="B140" s="34"/>
      <c r="C140" s="34"/>
      <c r="D140" s="34"/>
      <c r="E140" s="55"/>
      <c r="F140" s="56"/>
      <c r="G140" s="57"/>
      <c r="H140" s="58"/>
      <c r="I140" s="39"/>
      <c r="J140" s="163"/>
      <c r="K140" s="57"/>
      <c r="L140" s="34"/>
      <c r="M140" s="34"/>
      <c r="N140" s="49" t="s">
        <v>246</v>
      </c>
      <c r="O140" s="41"/>
      <c r="P140" s="50">
        <v>11004</v>
      </c>
      <c r="Q140" s="51">
        <v>44424</v>
      </c>
      <c r="R140" s="52"/>
      <c r="S140" s="50"/>
      <c r="T140" s="50"/>
      <c r="U140" s="45"/>
      <c r="V140" s="156"/>
      <c r="W140" s="47"/>
      <c r="X140" s="139">
        <v>23</v>
      </c>
    </row>
    <row r="141" spans="1:24" s="157" customFormat="1" ht="39.75" customHeight="1" x14ac:dyDescent="0.3">
      <c r="A141" s="62">
        <v>20</v>
      </c>
      <c r="B141" s="44"/>
      <c r="C141" s="44"/>
      <c r="D141" s="68" t="s">
        <v>59</v>
      </c>
      <c r="E141" s="63" t="s">
        <v>37</v>
      </c>
      <c r="F141" s="71">
        <v>44287</v>
      </c>
      <c r="G141" s="65" t="s">
        <v>247</v>
      </c>
      <c r="H141" s="73">
        <v>535437.57999999996</v>
      </c>
      <c r="I141" s="67">
        <f>IF(X141 = 25, H141 + SUM(S141:S141) - SUM(T141:T141) - SUM(P141:P141) - V141,0)</f>
        <v>0</v>
      </c>
      <c r="J141" s="169"/>
      <c r="K141" s="65" t="s">
        <v>231</v>
      </c>
      <c r="L141" s="44"/>
      <c r="M141" s="44" t="s">
        <v>202</v>
      </c>
      <c r="N141" s="40">
        <v>44316</v>
      </c>
      <c r="O141" s="40"/>
      <c r="P141" s="42">
        <v>535437.57999999996</v>
      </c>
      <c r="Q141" s="43">
        <v>44336</v>
      </c>
      <c r="R141" s="44"/>
      <c r="S141" s="42"/>
      <c r="T141" s="42"/>
      <c r="U141" s="42"/>
      <c r="V141" s="170"/>
      <c r="W141" s="70"/>
      <c r="X141" s="157">
        <v>25</v>
      </c>
    </row>
    <row r="142" spans="1:24" s="157" customFormat="1" ht="37.5" customHeight="1" x14ac:dyDescent="0.25">
      <c r="A142" s="33">
        <v>21</v>
      </c>
      <c r="B142" s="34"/>
      <c r="C142" s="34"/>
      <c r="D142" s="60" t="s">
        <v>59</v>
      </c>
      <c r="E142" s="55" t="s">
        <v>38</v>
      </c>
      <c r="F142" s="56">
        <v>44287</v>
      </c>
      <c r="G142" s="57" t="s">
        <v>248</v>
      </c>
      <c r="H142" s="58">
        <v>168150</v>
      </c>
      <c r="I142" s="39">
        <f>IF(X142 = 26, H142 + SUM(S142:S144) - SUM(T142:T144) - SUM(P142:P144) - V142,0)</f>
        <v>0</v>
      </c>
      <c r="J142" s="163"/>
      <c r="K142" s="57" t="s">
        <v>231</v>
      </c>
      <c r="L142" s="34"/>
      <c r="M142" s="34" t="s">
        <v>202</v>
      </c>
      <c r="N142" s="40">
        <v>44316</v>
      </c>
      <c r="O142" s="79"/>
      <c r="P142" s="42">
        <v>168150</v>
      </c>
      <c r="Q142" s="43">
        <v>44336</v>
      </c>
      <c r="R142" s="44"/>
      <c r="S142" s="42"/>
      <c r="T142" s="42"/>
      <c r="U142" s="45"/>
      <c r="V142" s="156"/>
      <c r="W142" s="47"/>
      <c r="X142" s="157">
        <v>26</v>
      </c>
    </row>
    <row r="143" spans="1:24" s="139" customFormat="1" ht="35.25" customHeight="1" x14ac:dyDescent="0.25">
      <c r="A143" s="33"/>
      <c r="B143" s="34"/>
      <c r="C143" s="34"/>
      <c r="D143" s="60"/>
      <c r="E143" s="55"/>
      <c r="F143" s="56"/>
      <c r="G143" s="57"/>
      <c r="H143" s="58"/>
      <c r="I143" s="39"/>
      <c r="J143" s="163"/>
      <c r="K143" s="57"/>
      <c r="L143" s="34"/>
      <c r="M143" s="34"/>
      <c r="N143" s="49"/>
      <c r="O143" s="79"/>
      <c r="P143" s="50"/>
      <c r="Q143" s="51"/>
      <c r="R143" s="52"/>
      <c r="S143" s="50"/>
      <c r="T143" s="50"/>
      <c r="U143" s="45"/>
      <c r="V143" s="156"/>
      <c r="W143" s="47"/>
      <c r="X143" s="139">
        <v>26</v>
      </c>
    </row>
    <row r="144" spans="1:24" s="139" customFormat="1" x14ac:dyDescent="0.25">
      <c r="A144" s="33"/>
      <c r="B144" s="34"/>
      <c r="C144" s="34"/>
      <c r="D144" s="60"/>
      <c r="E144" s="55"/>
      <c r="F144" s="56"/>
      <c r="G144" s="57"/>
      <c r="H144" s="58"/>
      <c r="I144" s="39"/>
      <c r="J144" s="163"/>
      <c r="K144" s="57"/>
      <c r="L144" s="34"/>
      <c r="M144" s="34"/>
      <c r="N144" s="49"/>
      <c r="O144" s="79"/>
      <c r="P144" s="50"/>
      <c r="Q144" s="51"/>
      <c r="R144" s="52"/>
      <c r="S144" s="50"/>
      <c r="T144" s="50"/>
      <c r="U144" s="45"/>
      <c r="V144" s="156"/>
      <c r="W144" s="47"/>
      <c r="X144" s="139">
        <v>26</v>
      </c>
    </row>
    <row r="145" spans="1:24" s="157" customFormat="1" ht="39.75" customHeight="1" x14ac:dyDescent="0.3">
      <c r="A145" s="62">
        <v>22</v>
      </c>
      <c r="B145" s="44"/>
      <c r="C145" s="44"/>
      <c r="D145" s="68" t="s">
        <v>59</v>
      </c>
      <c r="E145" s="63" t="s">
        <v>249</v>
      </c>
      <c r="F145" s="71">
        <v>44313</v>
      </c>
      <c r="G145" s="65" t="s">
        <v>250</v>
      </c>
      <c r="H145" s="73">
        <v>45180</v>
      </c>
      <c r="I145" s="67">
        <f>IF(X145 = 27, H145 + SUM(S145:S145) - SUM(T145:T145) - SUM(P145:P145) - V145,0)</f>
        <v>0</v>
      </c>
      <c r="J145" s="169"/>
      <c r="K145" s="65" t="s">
        <v>251</v>
      </c>
      <c r="L145" s="44"/>
      <c r="M145" s="44" t="s">
        <v>252</v>
      </c>
      <c r="N145" s="40">
        <v>44313</v>
      </c>
      <c r="O145" s="40"/>
      <c r="P145" s="42">
        <v>45180</v>
      </c>
      <c r="Q145" s="43">
        <v>44341</v>
      </c>
      <c r="R145" s="44"/>
      <c r="S145" s="42"/>
      <c r="T145" s="42"/>
      <c r="U145" s="42"/>
      <c r="V145" s="170"/>
      <c r="W145" s="70"/>
      <c r="X145" s="157">
        <v>27</v>
      </c>
    </row>
    <row r="146" spans="1:24" s="157" customFormat="1" ht="44.25" customHeight="1" x14ac:dyDescent="0.3">
      <c r="A146" s="62">
        <v>23</v>
      </c>
      <c r="B146" s="44"/>
      <c r="C146" s="44"/>
      <c r="D146" s="68" t="s">
        <v>59</v>
      </c>
      <c r="E146" s="63" t="s">
        <v>41</v>
      </c>
      <c r="F146" s="71">
        <v>44328</v>
      </c>
      <c r="G146" s="65" t="s">
        <v>253</v>
      </c>
      <c r="H146" s="73">
        <v>189796.01</v>
      </c>
      <c r="I146" s="67">
        <f>IF(X146 = 28, H146 + SUM(S146:S146) - SUM(T146:T146) - SUM(P146:P146) - V146,0)</f>
        <v>0</v>
      </c>
      <c r="J146" s="169"/>
      <c r="K146" s="65" t="s">
        <v>231</v>
      </c>
      <c r="L146" s="44"/>
      <c r="M146" s="44" t="s">
        <v>202</v>
      </c>
      <c r="N146" s="40">
        <v>44338</v>
      </c>
      <c r="O146" s="40"/>
      <c r="P146" s="42">
        <v>189796.01</v>
      </c>
      <c r="Q146" s="43">
        <v>44384</v>
      </c>
      <c r="R146" s="44"/>
      <c r="S146" s="42"/>
      <c r="T146" s="42"/>
      <c r="U146" s="42"/>
      <c r="V146" s="170"/>
      <c r="W146" s="70"/>
      <c r="X146" s="157">
        <v>28</v>
      </c>
    </row>
    <row r="147" spans="1:24" s="157" customFormat="1" ht="42.75" customHeight="1" x14ac:dyDescent="0.3">
      <c r="A147" s="62">
        <v>24</v>
      </c>
      <c r="B147" s="44"/>
      <c r="C147" s="44"/>
      <c r="D147" s="68" t="s">
        <v>59</v>
      </c>
      <c r="E147" s="63" t="s">
        <v>42</v>
      </c>
      <c r="F147" s="71">
        <v>44328</v>
      </c>
      <c r="G147" s="65" t="s">
        <v>254</v>
      </c>
      <c r="H147" s="73">
        <v>61503</v>
      </c>
      <c r="I147" s="67">
        <f>IF(X147 = 29, H147 + SUM(S147:S147) - SUM(T147:T147) - SUM(P147:P147) - V147,0)</f>
        <v>0</v>
      </c>
      <c r="J147" s="169"/>
      <c r="K147" s="65" t="s">
        <v>231</v>
      </c>
      <c r="L147" s="44"/>
      <c r="M147" s="44" t="s">
        <v>202</v>
      </c>
      <c r="N147" s="49">
        <v>44337</v>
      </c>
      <c r="O147" s="40"/>
      <c r="P147" s="42">
        <v>61503</v>
      </c>
      <c r="Q147" s="51">
        <v>44354</v>
      </c>
      <c r="R147" s="44"/>
      <c r="S147" s="42"/>
      <c r="T147" s="42"/>
      <c r="U147" s="42"/>
      <c r="V147" s="170"/>
      <c r="W147" s="70"/>
      <c r="X147" s="157">
        <v>29</v>
      </c>
    </row>
    <row r="148" spans="1:24" s="157" customFormat="1" ht="37.5" customHeight="1" x14ac:dyDescent="0.25">
      <c r="A148" s="33">
        <v>25</v>
      </c>
      <c r="B148" s="34"/>
      <c r="C148" s="34"/>
      <c r="D148" s="60" t="s">
        <v>59</v>
      </c>
      <c r="E148" s="55" t="s">
        <v>255</v>
      </c>
      <c r="F148" s="56">
        <v>44329</v>
      </c>
      <c r="G148" s="57" t="s">
        <v>256</v>
      </c>
      <c r="H148" s="58">
        <v>405970.67</v>
      </c>
      <c r="I148" s="39">
        <f>IF(X148 = 30, H148 + SUM(S148:S152) - SUM(T148:T152) - SUM(P148:P152) - V148,0)</f>
        <v>-5.8207660913467407E-11</v>
      </c>
      <c r="J148" s="163"/>
      <c r="K148" s="57" t="s">
        <v>210</v>
      </c>
      <c r="L148" s="34"/>
      <c r="M148" s="34" t="s">
        <v>202</v>
      </c>
      <c r="N148" s="40">
        <v>44347</v>
      </c>
      <c r="O148" s="79"/>
      <c r="P148" s="42">
        <f>169947.59+58120.67</f>
        <v>228068.26</v>
      </c>
      <c r="Q148" s="43">
        <v>44413</v>
      </c>
      <c r="R148" s="44"/>
      <c r="S148" s="42"/>
      <c r="T148" s="42"/>
      <c r="U148" s="45"/>
      <c r="V148" s="156"/>
      <c r="W148" s="47"/>
      <c r="X148" s="157">
        <v>30</v>
      </c>
    </row>
    <row r="149" spans="1:24" s="139" customFormat="1" ht="44.25" customHeight="1" x14ac:dyDescent="0.25">
      <c r="A149" s="33"/>
      <c r="B149" s="34"/>
      <c r="C149" s="34"/>
      <c r="D149" s="60"/>
      <c r="E149" s="55"/>
      <c r="F149" s="56"/>
      <c r="G149" s="57"/>
      <c r="H149" s="58"/>
      <c r="I149" s="39"/>
      <c r="J149" s="163"/>
      <c r="K149" s="57"/>
      <c r="L149" s="34"/>
      <c r="M149" s="34"/>
      <c r="N149" s="49">
        <v>44389</v>
      </c>
      <c r="O149" s="79"/>
      <c r="P149" s="50">
        <v>148325.51</v>
      </c>
      <c r="Q149" s="51">
        <v>44413</v>
      </c>
      <c r="R149" s="52"/>
      <c r="S149" s="50"/>
      <c r="T149" s="50"/>
      <c r="U149" s="45"/>
      <c r="V149" s="156"/>
      <c r="W149" s="47"/>
      <c r="X149" s="139">
        <v>30</v>
      </c>
    </row>
    <row r="150" spans="1:24" s="139" customFormat="1" x14ac:dyDescent="0.25">
      <c r="A150" s="33"/>
      <c r="B150" s="34"/>
      <c r="C150" s="34"/>
      <c r="D150" s="60"/>
      <c r="E150" s="55"/>
      <c r="F150" s="56"/>
      <c r="G150" s="57"/>
      <c r="H150" s="58"/>
      <c r="I150" s="39"/>
      <c r="J150" s="163"/>
      <c r="K150" s="57"/>
      <c r="L150" s="34"/>
      <c r="M150" s="34"/>
      <c r="N150" s="49">
        <v>44439</v>
      </c>
      <c r="O150" s="79"/>
      <c r="P150" s="50">
        <v>8721.82</v>
      </c>
      <c r="Q150" s="51">
        <v>44489</v>
      </c>
      <c r="R150" s="52"/>
      <c r="S150" s="50"/>
      <c r="T150" s="50"/>
      <c r="U150" s="45"/>
      <c r="V150" s="156"/>
      <c r="W150" s="47"/>
      <c r="X150" s="139">
        <v>30</v>
      </c>
    </row>
    <row r="151" spans="1:24" s="139" customFormat="1" x14ac:dyDescent="0.25">
      <c r="A151" s="33"/>
      <c r="B151" s="34"/>
      <c r="C151" s="34"/>
      <c r="D151" s="60"/>
      <c r="E151" s="55"/>
      <c r="F151" s="56"/>
      <c r="G151" s="57"/>
      <c r="H151" s="58"/>
      <c r="I151" s="39"/>
      <c r="J151" s="163"/>
      <c r="K151" s="57"/>
      <c r="L151" s="34"/>
      <c r="M151" s="34"/>
      <c r="N151" s="49"/>
      <c r="O151" s="79"/>
      <c r="P151" s="50"/>
      <c r="Q151" s="51"/>
      <c r="R151" s="52"/>
      <c r="S151" s="50"/>
      <c r="T151" s="50"/>
      <c r="U151" s="45"/>
      <c r="V151" s="156"/>
      <c r="W151" s="47"/>
      <c r="X151" s="139">
        <v>30</v>
      </c>
    </row>
    <row r="152" spans="1:24" s="139" customFormat="1" x14ac:dyDescent="0.25">
      <c r="A152" s="33"/>
      <c r="B152" s="34"/>
      <c r="C152" s="34"/>
      <c r="D152" s="60"/>
      <c r="E152" s="55"/>
      <c r="F152" s="56"/>
      <c r="G152" s="57"/>
      <c r="H152" s="58"/>
      <c r="I152" s="39"/>
      <c r="J152" s="163"/>
      <c r="K152" s="57"/>
      <c r="L152" s="34"/>
      <c r="M152" s="34"/>
      <c r="N152" s="49">
        <v>44515</v>
      </c>
      <c r="O152" s="79"/>
      <c r="P152" s="50">
        <v>20855.080000000002</v>
      </c>
      <c r="Q152" s="51" t="s">
        <v>257</v>
      </c>
      <c r="R152" s="52"/>
      <c r="S152" s="50"/>
      <c r="T152" s="50"/>
      <c r="U152" s="45"/>
      <c r="V152" s="156"/>
      <c r="W152" s="47"/>
      <c r="X152" s="139">
        <v>30</v>
      </c>
    </row>
    <row r="153" spans="1:24" s="157" customFormat="1" ht="39.75" customHeight="1" x14ac:dyDescent="0.25">
      <c r="A153" s="33">
        <v>26</v>
      </c>
      <c r="B153" s="34"/>
      <c r="C153" s="34"/>
      <c r="D153" s="60" t="s">
        <v>59</v>
      </c>
      <c r="E153" s="55" t="s">
        <v>44</v>
      </c>
      <c r="F153" s="56">
        <v>44351</v>
      </c>
      <c r="G153" s="57" t="s">
        <v>258</v>
      </c>
      <c r="H153" s="58">
        <v>338575.2</v>
      </c>
      <c r="I153" s="172">
        <f>IF(X153 = 32, H153 + SUM(S153:S154) - SUM(T153:T154) - SUM(P153:P154) - V153,0)</f>
        <v>0</v>
      </c>
      <c r="J153" s="163"/>
      <c r="K153" s="57" t="s">
        <v>259</v>
      </c>
      <c r="L153" s="34"/>
      <c r="M153" s="34"/>
      <c r="N153" s="40">
        <v>44420</v>
      </c>
      <c r="O153" s="79"/>
      <c r="P153" s="42">
        <f>335583+2992.2</f>
        <v>338575.2</v>
      </c>
      <c r="Q153" s="43">
        <v>44425</v>
      </c>
      <c r="R153" s="44"/>
      <c r="S153" s="42"/>
      <c r="T153" s="42"/>
      <c r="U153" s="45"/>
      <c r="V153" s="156"/>
      <c r="W153" s="47"/>
      <c r="X153" s="157">
        <v>32</v>
      </c>
    </row>
    <row r="154" spans="1:24" s="139" customFormat="1" ht="39.75" customHeight="1" x14ac:dyDescent="0.25">
      <c r="A154" s="33"/>
      <c r="B154" s="34"/>
      <c r="C154" s="34"/>
      <c r="D154" s="60"/>
      <c r="E154" s="55"/>
      <c r="F154" s="56"/>
      <c r="G154" s="57"/>
      <c r="H154" s="58"/>
      <c r="I154" s="172"/>
      <c r="J154" s="163"/>
      <c r="K154" s="57"/>
      <c r="L154" s="34"/>
      <c r="M154" s="34"/>
      <c r="N154" s="49"/>
      <c r="O154" s="79"/>
      <c r="P154" s="50"/>
      <c r="Q154" s="51"/>
      <c r="R154" s="52"/>
      <c r="S154" s="50"/>
      <c r="T154" s="50"/>
      <c r="U154" s="45"/>
      <c r="V154" s="156"/>
      <c r="W154" s="47"/>
      <c r="X154" s="139">
        <v>32</v>
      </c>
    </row>
    <row r="155" spans="1:24" s="157" customFormat="1" ht="56.25" customHeight="1" x14ac:dyDescent="0.25">
      <c r="A155" s="33">
        <v>27</v>
      </c>
      <c r="B155" s="34"/>
      <c r="C155" s="34"/>
      <c r="D155" s="60" t="s">
        <v>59</v>
      </c>
      <c r="E155" s="173" t="s">
        <v>48</v>
      </c>
      <c r="F155" s="174">
        <v>44362</v>
      </c>
      <c r="G155" s="57" t="s">
        <v>260</v>
      </c>
      <c r="H155" s="175">
        <v>181028</v>
      </c>
      <c r="I155" s="39">
        <f>IF(X155 = 33, H155 + SUM(S155:S156) - SUM(T155:T156) - SUM(P155:P156) - V155,0)</f>
        <v>1.8189894035458565E-12</v>
      </c>
      <c r="J155" s="163"/>
      <c r="K155" s="57" t="s">
        <v>259</v>
      </c>
      <c r="L155" s="34"/>
      <c r="M155" s="34"/>
      <c r="N155" s="40">
        <v>44449</v>
      </c>
      <c r="O155" s="79"/>
      <c r="P155" s="42">
        <v>165616</v>
      </c>
      <c r="Q155" s="43">
        <v>44460</v>
      </c>
      <c r="R155" s="44"/>
      <c r="S155" s="42"/>
      <c r="T155" s="42"/>
      <c r="U155" s="34" t="s">
        <v>261</v>
      </c>
      <c r="V155" s="156">
        <v>-15197.31</v>
      </c>
      <c r="W155" s="47"/>
      <c r="X155" s="157">
        <v>33</v>
      </c>
    </row>
    <row r="156" spans="1:24" s="139" customFormat="1" ht="54.75" customHeight="1" x14ac:dyDescent="0.25">
      <c r="A156" s="33"/>
      <c r="B156" s="34"/>
      <c r="C156" s="34"/>
      <c r="D156" s="60"/>
      <c r="E156" s="173"/>
      <c r="F156" s="174"/>
      <c r="G156" s="57"/>
      <c r="H156" s="175"/>
      <c r="I156" s="39"/>
      <c r="J156" s="163"/>
      <c r="K156" s="57"/>
      <c r="L156" s="34"/>
      <c r="M156" s="34"/>
      <c r="N156" s="49">
        <v>44449</v>
      </c>
      <c r="O156" s="79"/>
      <c r="P156" s="50">
        <v>30609.31</v>
      </c>
      <c r="Q156" s="51">
        <v>44461</v>
      </c>
      <c r="R156" s="52"/>
      <c r="S156" s="50"/>
      <c r="T156" s="50"/>
      <c r="U156" s="34"/>
      <c r="V156" s="156"/>
      <c r="W156" s="47"/>
      <c r="X156" s="139">
        <v>33</v>
      </c>
    </row>
    <row r="157" spans="1:24" s="157" customFormat="1" ht="36.75" customHeight="1" x14ac:dyDescent="0.25">
      <c r="A157" s="33">
        <v>28</v>
      </c>
      <c r="B157" s="34"/>
      <c r="C157" s="34"/>
      <c r="D157" s="60" t="s">
        <v>59</v>
      </c>
      <c r="E157" s="173" t="s">
        <v>262</v>
      </c>
      <c r="F157" s="174">
        <v>44375</v>
      </c>
      <c r="G157" s="57" t="s">
        <v>263</v>
      </c>
      <c r="H157" s="175">
        <v>206926.01</v>
      </c>
      <c r="I157" s="39">
        <f>IF(X157 = 34, H157 + SUM(S157:S158) - SUM(T157:T158) - SUM(P157:P158) - V157,0)</f>
        <v>0</v>
      </c>
      <c r="J157" s="163"/>
      <c r="K157" s="57" t="s">
        <v>259</v>
      </c>
      <c r="L157" s="34"/>
      <c r="M157" s="34"/>
      <c r="N157" s="40">
        <v>44375</v>
      </c>
      <c r="O157" s="79"/>
      <c r="P157" s="42">
        <v>191025</v>
      </c>
      <c r="Q157" s="43">
        <v>44461</v>
      </c>
      <c r="R157" s="44"/>
      <c r="S157" s="42"/>
      <c r="T157" s="42"/>
      <c r="U157" s="45"/>
      <c r="V157" s="156"/>
      <c r="W157" s="47"/>
      <c r="X157" s="157">
        <v>34</v>
      </c>
    </row>
    <row r="158" spans="1:24" s="139" customFormat="1" x14ac:dyDescent="0.25">
      <c r="A158" s="33"/>
      <c r="B158" s="34"/>
      <c r="C158" s="34"/>
      <c r="D158" s="60"/>
      <c r="E158" s="173"/>
      <c r="F158" s="174"/>
      <c r="G158" s="57"/>
      <c r="H158" s="175"/>
      <c r="I158" s="39"/>
      <c r="J158" s="163"/>
      <c r="K158" s="57"/>
      <c r="L158" s="34"/>
      <c r="M158" s="34"/>
      <c r="N158" s="49">
        <v>44375</v>
      </c>
      <c r="O158" s="79"/>
      <c r="P158" s="50">
        <v>15901.01</v>
      </c>
      <c r="Q158" s="51">
        <v>44461</v>
      </c>
      <c r="R158" s="52"/>
      <c r="S158" s="50"/>
      <c r="T158" s="50"/>
      <c r="U158" s="45"/>
      <c r="V158" s="156"/>
      <c r="W158" s="47"/>
      <c r="X158" s="139">
        <v>34</v>
      </c>
    </row>
    <row r="159" spans="1:24" s="157" customFormat="1" ht="42.75" customHeight="1" x14ac:dyDescent="0.25">
      <c r="A159" s="33">
        <v>29</v>
      </c>
      <c r="B159" s="34"/>
      <c r="C159" s="34"/>
      <c r="D159" s="34" t="s">
        <v>59</v>
      </c>
      <c r="E159" s="176" t="s">
        <v>264</v>
      </c>
      <c r="F159" s="56">
        <v>44375</v>
      </c>
      <c r="G159" s="177" t="s">
        <v>265</v>
      </c>
      <c r="H159" s="175">
        <v>58522.8</v>
      </c>
      <c r="I159" s="178">
        <f>IF(X159 = 35, H159 + SUM(S159:S160) - SUM(T159:T160) - SUM(P159:P160) - V159,0)</f>
        <v>4.0927261579781771E-12</v>
      </c>
      <c r="J159" s="163"/>
      <c r="K159" s="57" t="s">
        <v>266</v>
      </c>
      <c r="L159" s="34"/>
      <c r="M159" s="34"/>
      <c r="N159" s="40">
        <v>44375</v>
      </c>
      <c r="O159" s="79"/>
      <c r="P159" s="42">
        <v>43696.24</v>
      </c>
      <c r="Q159" s="43">
        <v>44399</v>
      </c>
      <c r="R159" s="44"/>
      <c r="S159" s="42"/>
      <c r="T159" s="42"/>
      <c r="U159" s="34" t="s">
        <v>267</v>
      </c>
      <c r="V159" s="156">
        <v>3901.52</v>
      </c>
      <c r="W159" s="47"/>
      <c r="X159" s="157">
        <v>35</v>
      </c>
    </row>
    <row r="160" spans="1:24" s="139" customFormat="1" ht="48.75" customHeight="1" x14ac:dyDescent="0.25">
      <c r="A160" s="33"/>
      <c r="B160" s="34"/>
      <c r="C160" s="34"/>
      <c r="D160" s="34"/>
      <c r="E160" s="176"/>
      <c r="F160" s="56"/>
      <c r="G160" s="177"/>
      <c r="H160" s="175"/>
      <c r="I160" s="178"/>
      <c r="J160" s="163"/>
      <c r="K160" s="57"/>
      <c r="L160" s="34"/>
      <c r="M160" s="34"/>
      <c r="N160" s="49">
        <v>44392</v>
      </c>
      <c r="O160" s="79"/>
      <c r="P160" s="50">
        <v>10925.04</v>
      </c>
      <c r="Q160" s="51">
        <v>44399</v>
      </c>
      <c r="R160" s="52"/>
      <c r="S160" s="50"/>
      <c r="T160" s="50"/>
      <c r="U160" s="34"/>
      <c r="V160" s="156"/>
      <c r="W160" s="47"/>
      <c r="X160" s="139">
        <v>35</v>
      </c>
    </row>
    <row r="161" spans="1:24" s="157" customFormat="1" ht="44.25" customHeight="1" x14ac:dyDescent="0.25">
      <c r="A161" s="33">
        <v>30</v>
      </c>
      <c r="B161" s="34"/>
      <c r="C161" s="34"/>
      <c r="D161" s="60" t="s">
        <v>59</v>
      </c>
      <c r="E161" s="176" t="s">
        <v>268</v>
      </c>
      <c r="F161" s="56">
        <v>44377</v>
      </c>
      <c r="G161" s="177" t="s">
        <v>269</v>
      </c>
      <c r="H161" s="175">
        <v>353280</v>
      </c>
      <c r="I161" s="39">
        <f>IF(X161 = 37, H161 + SUM(S161:S167) - SUM(T161:T167) - SUM(P161:P167) - V161,0)</f>
        <v>0</v>
      </c>
      <c r="J161" s="163"/>
      <c r="K161" s="57" t="s">
        <v>270</v>
      </c>
      <c r="L161" s="34"/>
      <c r="M161" s="34" t="s">
        <v>202</v>
      </c>
      <c r="N161" s="40">
        <v>44408</v>
      </c>
      <c r="O161" s="79"/>
      <c r="P161" s="42">
        <v>59520</v>
      </c>
      <c r="Q161" s="43">
        <v>44412</v>
      </c>
      <c r="R161" s="44"/>
      <c r="S161" s="42"/>
      <c r="T161" s="42"/>
      <c r="U161" s="45"/>
      <c r="V161" s="156"/>
      <c r="W161" s="47"/>
      <c r="X161" s="157">
        <v>37</v>
      </c>
    </row>
    <row r="162" spans="1:24" s="139" customFormat="1" x14ac:dyDescent="0.25">
      <c r="A162" s="33"/>
      <c r="B162" s="34"/>
      <c r="C162" s="34"/>
      <c r="D162" s="60"/>
      <c r="E162" s="176"/>
      <c r="F162" s="56"/>
      <c r="G162" s="177"/>
      <c r="H162" s="175"/>
      <c r="I162" s="39"/>
      <c r="J162" s="163"/>
      <c r="K162" s="57"/>
      <c r="L162" s="34"/>
      <c r="M162" s="34"/>
      <c r="N162" s="49">
        <v>44439</v>
      </c>
      <c r="O162" s="79"/>
      <c r="P162" s="50">
        <v>59520</v>
      </c>
      <c r="Q162" s="51">
        <v>44440</v>
      </c>
      <c r="R162" s="52"/>
      <c r="S162" s="50"/>
      <c r="T162" s="50"/>
      <c r="U162" s="45"/>
      <c r="V162" s="156"/>
      <c r="W162" s="47"/>
      <c r="X162" s="139">
        <v>37</v>
      </c>
    </row>
    <row r="163" spans="1:24" s="139" customFormat="1" x14ac:dyDescent="0.25">
      <c r="A163" s="33"/>
      <c r="B163" s="34"/>
      <c r="C163" s="34"/>
      <c r="D163" s="60"/>
      <c r="E163" s="176"/>
      <c r="F163" s="56"/>
      <c r="G163" s="177"/>
      <c r="H163" s="175"/>
      <c r="I163" s="39"/>
      <c r="J163" s="163"/>
      <c r="K163" s="57"/>
      <c r="L163" s="34"/>
      <c r="M163" s="34"/>
      <c r="N163" s="49">
        <v>44469</v>
      </c>
      <c r="O163" s="79"/>
      <c r="P163" s="50">
        <v>57600</v>
      </c>
      <c r="Q163" s="51">
        <v>44491</v>
      </c>
      <c r="R163" s="52"/>
      <c r="S163" s="50"/>
      <c r="T163" s="50"/>
      <c r="U163" s="45"/>
      <c r="V163" s="156"/>
      <c r="W163" s="47"/>
      <c r="X163" s="139">
        <v>37</v>
      </c>
    </row>
    <row r="164" spans="1:24" s="139" customFormat="1" x14ac:dyDescent="0.25">
      <c r="A164" s="33"/>
      <c r="B164" s="34"/>
      <c r="C164" s="34"/>
      <c r="D164" s="60"/>
      <c r="E164" s="176"/>
      <c r="F164" s="56"/>
      <c r="G164" s="177"/>
      <c r="H164" s="175"/>
      <c r="I164" s="39"/>
      <c r="J164" s="163"/>
      <c r="K164" s="57"/>
      <c r="L164" s="34"/>
      <c r="M164" s="34"/>
      <c r="N164" s="49">
        <v>44500</v>
      </c>
      <c r="O164" s="79"/>
      <c r="P164" s="50">
        <v>59520</v>
      </c>
      <c r="Q164" s="51">
        <v>44509</v>
      </c>
      <c r="R164" s="52"/>
      <c r="S164" s="50"/>
      <c r="T164" s="50"/>
      <c r="U164" s="45"/>
      <c r="V164" s="156"/>
      <c r="W164" s="47"/>
      <c r="X164" s="139">
        <v>37</v>
      </c>
    </row>
    <row r="165" spans="1:24" s="139" customFormat="1" x14ac:dyDescent="0.25">
      <c r="A165" s="33"/>
      <c r="B165" s="34"/>
      <c r="C165" s="34"/>
      <c r="D165" s="60"/>
      <c r="E165" s="176"/>
      <c r="F165" s="56"/>
      <c r="G165" s="177"/>
      <c r="H165" s="175"/>
      <c r="I165" s="39"/>
      <c r="J165" s="163"/>
      <c r="K165" s="57"/>
      <c r="L165" s="34"/>
      <c r="M165" s="34"/>
      <c r="N165" s="49">
        <v>44551</v>
      </c>
      <c r="O165" s="79"/>
      <c r="P165" s="50">
        <v>59520</v>
      </c>
      <c r="Q165" s="51">
        <v>44554</v>
      </c>
      <c r="R165" s="52"/>
      <c r="S165" s="50"/>
      <c r="T165" s="50"/>
      <c r="U165" s="45"/>
      <c r="V165" s="156"/>
      <c r="W165" s="47"/>
      <c r="X165" s="139">
        <v>37</v>
      </c>
    </row>
    <row r="166" spans="1:24" s="139" customFormat="1" x14ac:dyDescent="0.25">
      <c r="A166" s="33"/>
      <c r="B166" s="34"/>
      <c r="C166" s="34"/>
      <c r="D166" s="60"/>
      <c r="E166" s="176"/>
      <c r="F166" s="56"/>
      <c r="G166" s="177"/>
      <c r="H166" s="175"/>
      <c r="I166" s="39"/>
      <c r="J166" s="163"/>
      <c r="K166" s="57"/>
      <c r="L166" s="34"/>
      <c r="M166" s="34"/>
      <c r="N166" s="49">
        <v>44530</v>
      </c>
      <c r="O166" s="79"/>
      <c r="P166" s="50">
        <v>57600</v>
      </c>
      <c r="Q166" s="51" t="s">
        <v>271</v>
      </c>
      <c r="R166" s="52"/>
      <c r="S166" s="50"/>
      <c r="T166" s="50"/>
      <c r="U166" s="45"/>
      <c r="V166" s="156"/>
      <c r="W166" s="47"/>
      <c r="X166" s="139">
        <v>37</v>
      </c>
    </row>
    <row r="167" spans="1:24" s="139" customFormat="1" x14ac:dyDescent="0.25">
      <c r="A167" s="33"/>
      <c r="B167" s="34"/>
      <c r="C167" s="34"/>
      <c r="D167" s="60"/>
      <c r="E167" s="176"/>
      <c r="F167" s="56"/>
      <c r="G167" s="177"/>
      <c r="H167" s="175"/>
      <c r="I167" s="39"/>
      <c r="J167" s="163"/>
      <c r="K167" s="57"/>
      <c r="L167" s="34"/>
      <c r="M167" s="34"/>
      <c r="N167" s="49"/>
      <c r="O167" s="79"/>
      <c r="P167" s="50"/>
      <c r="Q167" s="51"/>
      <c r="R167" s="52"/>
      <c r="S167" s="50"/>
      <c r="T167" s="50"/>
      <c r="U167" s="45"/>
      <c r="V167" s="156"/>
      <c r="W167" s="47"/>
      <c r="X167" s="139">
        <v>37</v>
      </c>
    </row>
    <row r="168" spans="1:24" s="157" customFormat="1" ht="42.75" customHeight="1" x14ac:dyDescent="0.25">
      <c r="A168" s="62">
        <v>31</v>
      </c>
      <c r="B168" s="44"/>
      <c r="C168" s="44"/>
      <c r="D168" s="179" t="s">
        <v>59</v>
      </c>
      <c r="E168" s="180" t="s">
        <v>272</v>
      </c>
      <c r="F168" s="181">
        <v>44406</v>
      </c>
      <c r="G168" s="75" t="s">
        <v>273</v>
      </c>
      <c r="H168" s="182">
        <v>103658</v>
      </c>
      <c r="I168" s="67">
        <f>IF(X168 = 40, H168 + SUM(S168:S168) - SUM(T168:T168) - SUM(P168:P168) - V168,0)</f>
        <v>0</v>
      </c>
      <c r="J168" s="169"/>
      <c r="K168" s="85" t="s">
        <v>274</v>
      </c>
      <c r="L168" s="44"/>
      <c r="M168" s="44" t="s">
        <v>275</v>
      </c>
      <c r="N168" s="40">
        <v>44410</v>
      </c>
      <c r="O168" s="40"/>
      <c r="P168" s="42">
        <v>103658</v>
      </c>
      <c r="Q168" s="43">
        <v>44413</v>
      </c>
      <c r="R168" s="44"/>
      <c r="S168" s="42"/>
      <c r="T168" s="42"/>
      <c r="U168" s="42"/>
      <c r="V168" s="170"/>
      <c r="W168" s="70"/>
      <c r="X168" s="157">
        <v>40</v>
      </c>
    </row>
    <row r="169" spans="1:24" s="157" customFormat="1" ht="44.25" customHeight="1" x14ac:dyDescent="0.25">
      <c r="A169" s="62">
        <v>32</v>
      </c>
      <c r="B169" s="44"/>
      <c r="C169" s="44"/>
      <c r="D169" s="179" t="s">
        <v>59</v>
      </c>
      <c r="E169" s="180" t="s">
        <v>276</v>
      </c>
      <c r="F169" s="181">
        <v>44403</v>
      </c>
      <c r="G169" s="183" t="s">
        <v>277</v>
      </c>
      <c r="H169" s="182">
        <v>2360.98</v>
      </c>
      <c r="I169" s="67">
        <f>IF(X169 = 41, H169 + SUM(S169:S169) - SUM(T169:T169) - SUM(P169:P169) - V169,0)</f>
        <v>0</v>
      </c>
      <c r="J169" s="169"/>
      <c r="K169" s="75" t="s">
        <v>259</v>
      </c>
      <c r="L169" s="44"/>
      <c r="M169" s="44" t="s">
        <v>278</v>
      </c>
      <c r="N169" s="40">
        <v>44406</v>
      </c>
      <c r="O169" s="40"/>
      <c r="P169" s="42">
        <v>2360.98</v>
      </c>
      <c r="Q169" s="43">
        <v>44431</v>
      </c>
      <c r="R169" s="44"/>
      <c r="S169" s="42"/>
      <c r="T169" s="42"/>
      <c r="U169" s="42"/>
      <c r="V169" s="170"/>
      <c r="W169" s="70"/>
      <c r="X169" s="157">
        <v>41</v>
      </c>
    </row>
    <row r="170" spans="1:24" s="157" customFormat="1" ht="83.25" customHeight="1" x14ac:dyDescent="0.4">
      <c r="A170" s="62">
        <v>33</v>
      </c>
      <c r="B170" s="44"/>
      <c r="C170" s="44"/>
      <c r="D170" s="179" t="s">
        <v>59</v>
      </c>
      <c r="E170" s="107" t="s">
        <v>279</v>
      </c>
      <c r="F170" s="122">
        <v>44413</v>
      </c>
      <c r="G170" s="92" t="s">
        <v>280</v>
      </c>
      <c r="H170" s="120">
        <v>35000</v>
      </c>
      <c r="I170" s="184">
        <f>IF(X170 = 42, H170 + SUM(S170:S170) - SUM(T170:T170) - SUM(P170:P170) - V170,0)</f>
        <v>0</v>
      </c>
      <c r="J170" s="185"/>
      <c r="K170" s="92" t="s">
        <v>281</v>
      </c>
      <c r="L170" s="44"/>
      <c r="M170" s="44"/>
      <c r="N170" s="40"/>
      <c r="O170" s="40"/>
      <c r="P170" s="42">
        <v>35000</v>
      </c>
      <c r="Q170" s="43"/>
      <c r="R170" s="44"/>
      <c r="S170" s="42"/>
      <c r="T170" s="42"/>
      <c r="U170" s="42"/>
      <c r="V170" s="170"/>
      <c r="W170" s="70"/>
      <c r="X170" s="157">
        <v>42</v>
      </c>
    </row>
    <row r="171" spans="1:24" s="157" customFormat="1" ht="78.75" x14ac:dyDescent="0.4">
      <c r="A171" s="62">
        <v>34</v>
      </c>
      <c r="B171" s="44"/>
      <c r="C171" s="44"/>
      <c r="D171" s="179" t="s">
        <v>59</v>
      </c>
      <c r="E171" s="107" t="s">
        <v>282</v>
      </c>
      <c r="F171" s="122">
        <v>44440</v>
      </c>
      <c r="G171" s="92" t="s">
        <v>283</v>
      </c>
      <c r="H171" s="120">
        <v>35000</v>
      </c>
      <c r="I171" s="184">
        <f>IF(X171 = 43, H171 + SUM(S171:S171) - SUM(T171:T171) - SUM(P171:P171) - V171,0)</f>
        <v>0</v>
      </c>
      <c r="J171" s="185"/>
      <c r="K171" s="92" t="s">
        <v>204</v>
      </c>
      <c r="L171" s="44"/>
      <c r="M171" s="44"/>
      <c r="N171" s="40">
        <v>44448</v>
      </c>
      <c r="O171" s="40"/>
      <c r="P171" s="42">
        <v>35000</v>
      </c>
      <c r="Q171" s="43">
        <v>44454</v>
      </c>
      <c r="R171" s="44"/>
      <c r="S171" s="42"/>
      <c r="T171" s="42"/>
      <c r="U171" s="42"/>
      <c r="V171" s="170"/>
      <c r="W171" s="70"/>
      <c r="X171" s="157">
        <v>43</v>
      </c>
    </row>
    <row r="172" spans="1:24" s="157" customFormat="1" ht="66.75" customHeight="1" x14ac:dyDescent="0.25">
      <c r="A172" s="33">
        <v>35</v>
      </c>
      <c r="B172" s="34"/>
      <c r="C172" s="34"/>
      <c r="D172" s="60" t="s">
        <v>59</v>
      </c>
      <c r="E172" s="186" t="s">
        <v>284</v>
      </c>
      <c r="F172" s="109">
        <v>44440</v>
      </c>
      <c r="G172" s="110" t="s">
        <v>285</v>
      </c>
      <c r="H172" s="187">
        <v>23205</v>
      </c>
      <c r="I172" s="188">
        <f>IF(X172 = 44, H172 + SUM(S172:S185) - SUM(T172:T185) - SUM(P172:P185) - V172,0)</f>
        <v>0</v>
      </c>
      <c r="J172" s="189"/>
      <c r="K172" s="110" t="s">
        <v>223</v>
      </c>
      <c r="L172" s="34"/>
      <c r="M172" s="34"/>
      <c r="N172" s="40">
        <v>44440</v>
      </c>
      <c r="O172" s="79"/>
      <c r="P172" s="42">
        <v>955.5</v>
      </c>
      <c r="Q172" s="43">
        <v>44477</v>
      </c>
      <c r="R172" s="44"/>
      <c r="S172" s="42"/>
      <c r="T172" s="42"/>
      <c r="U172" s="45" t="s">
        <v>286</v>
      </c>
      <c r="V172" s="156">
        <v>2454.5</v>
      </c>
      <c r="W172" s="47"/>
      <c r="X172" s="157">
        <v>44</v>
      </c>
    </row>
    <row r="173" spans="1:24" s="139" customFormat="1" x14ac:dyDescent="0.25">
      <c r="A173" s="33"/>
      <c r="B173" s="34"/>
      <c r="C173" s="34"/>
      <c r="D173" s="60"/>
      <c r="E173" s="186"/>
      <c r="F173" s="109"/>
      <c r="G173" s="110"/>
      <c r="H173" s="187"/>
      <c r="I173" s="188"/>
      <c r="J173" s="189"/>
      <c r="K173" s="110"/>
      <c r="L173" s="34"/>
      <c r="M173" s="34"/>
      <c r="N173" s="49">
        <v>44440</v>
      </c>
      <c r="O173" s="79"/>
      <c r="P173" s="50">
        <v>1443</v>
      </c>
      <c r="Q173" s="51">
        <v>44477</v>
      </c>
      <c r="R173" s="52"/>
      <c r="S173" s="50"/>
      <c r="T173" s="50"/>
      <c r="U173" s="45"/>
      <c r="V173" s="156"/>
      <c r="W173" s="47"/>
      <c r="X173" s="139">
        <v>44</v>
      </c>
    </row>
    <row r="174" spans="1:24" s="139" customFormat="1" x14ac:dyDescent="0.25">
      <c r="A174" s="33"/>
      <c r="B174" s="34"/>
      <c r="C174" s="34"/>
      <c r="D174" s="60"/>
      <c r="E174" s="186"/>
      <c r="F174" s="109"/>
      <c r="G174" s="110"/>
      <c r="H174" s="187"/>
      <c r="I174" s="188"/>
      <c r="J174" s="189"/>
      <c r="K174" s="110"/>
      <c r="L174" s="34"/>
      <c r="M174" s="34"/>
      <c r="N174" s="49">
        <v>44440</v>
      </c>
      <c r="O174" s="79"/>
      <c r="P174" s="50">
        <v>1462.5</v>
      </c>
      <c r="Q174" s="51">
        <v>44484</v>
      </c>
      <c r="R174" s="52"/>
      <c r="S174" s="50"/>
      <c r="T174" s="50"/>
      <c r="U174" s="45"/>
      <c r="V174" s="156"/>
      <c r="W174" s="47"/>
      <c r="X174" s="139">
        <v>44</v>
      </c>
    </row>
    <row r="175" spans="1:24" s="139" customFormat="1" x14ac:dyDescent="0.25">
      <c r="A175" s="33"/>
      <c r="B175" s="34"/>
      <c r="C175" s="34"/>
      <c r="D175" s="60"/>
      <c r="E175" s="186"/>
      <c r="F175" s="109"/>
      <c r="G175" s="110"/>
      <c r="H175" s="187"/>
      <c r="I175" s="188"/>
      <c r="J175" s="189"/>
      <c r="K175" s="110"/>
      <c r="L175" s="34"/>
      <c r="M175" s="34"/>
      <c r="N175" s="49">
        <v>44476</v>
      </c>
      <c r="O175" s="79"/>
      <c r="P175" s="50">
        <v>1462.5</v>
      </c>
      <c r="Q175" s="51">
        <v>44489</v>
      </c>
      <c r="R175" s="52"/>
      <c r="S175" s="50"/>
      <c r="T175" s="50"/>
      <c r="U175" s="45"/>
      <c r="V175" s="156"/>
      <c r="W175" s="47"/>
      <c r="X175" s="139">
        <v>44</v>
      </c>
    </row>
    <row r="176" spans="1:24" s="139" customFormat="1" x14ac:dyDescent="0.25">
      <c r="A176" s="33"/>
      <c r="B176" s="34"/>
      <c r="C176" s="34"/>
      <c r="D176" s="60"/>
      <c r="E176" s="186"/>
      <c r="F176" s="109"/>
      <c r="G176" s="110"/>
      <c r="H176" s="187"/>
      <c r="I176" s="188"/>
      <c r="J176" s="189"/>
      <c r="K176" s="110"/>
      <c r="L176" s="34"/>
      <c r="M176" s="34"/>
      <c r="N176" s="49">
        <v>44483</v>
      </c>
      <c r="O176" s="79"/>
      <c r="P176" s="50">
        <v>1462.5</v>
      </c>
      <c r="Q176" s="51">
        <v>44495</v>
      </c>
      <c r="R176" s="52"/>
      <c r="S176" s="50"/>
      <c r="T176" s="50"/>
      <c r="U176" s="45"/>
      <c r="V176" s="156"/>
      <c r="W176" s="47"/>
      <c r="X176" s="139">
        <v>44</v>
      </c>
    </row>
    <row r="177" spans="1:24" s="139" customFormat="1" x14ac:dyDescent="0.25">
      <c r="A177" s="33"/>
      <c r="B177" s="34"/>
      <c r="C177" s="34"/>
      <c r="D177" s="60"/>
      <c r="E177" s="186"/>
      <c r="F177" s="109"/>
      <c r="G177" s="110"/>
      <c r="H177" s="187"/>
      <c r="I177" s="188"/>
      <c r="J177" s="189"/>
      <c r="K177" s="110"/>
      <c r="L177" s="34"/>
      <c r="M177" s="34"/>
      <c r="N177" s="49">
        <v>44498</v>
      </c>
      <c r="O177" s="79"/>
      <c r="P177" s="50">
        <v>1560.5</v>
      </c>
      <c r="Q177" s="51">
        <v>44510</v>
      </c>
      <c r="R177" s="52"/>
      <c r="S177" s="50"/>
      <c r="T177" s="50"/>
      <c r="U177" s="45"/>
      <c r="V177" s="156"/>
      <c r="W177" s="47"/>
      <c r="X177" s="139">
        <v>44</v>
      </c>
    </row>
    <row r="178" spans="1:24" s="139" customFormat="1" x14ac:dyDescent="0.25">
      <c r="A178" s="33"/>
      <c r="B178" s="34"/>
      <c r="C178" s="34"/>
      <c r="D178" s="60"/>
      <c r="E178" s="186"/>
      <c r="F178" s="109"/>
      <c r="G178" s="110"/>
      <c r="H178" s="187"/>
      <c r="I178" s="188"/>
      <c r="J178" s="189"/>
      <c r="K178" s="110"/>
      <c r="L178" s="34"/>
      <c r="M178" s="34"/>
      <c r="N178" s="49">
        <v>44490</v>
      </c>
      <c r="O178" s="79"/>
      <c r="P178" s="50">
        <v>1560.5</v>
      </c>
      <c r="Q178" s="51">
        <v>44519</v>
      </c>
      <c r="R178" s="52"/>
      <c r="S178" s="50"/>
      <c r="T178" s="50"/>
      <c r="U178" s="45"/>
      <c r="V178" s="156"/>
      <c r="W178" s="47"/>
      <c r="X178" s="139">
        <v>44</v>
      </c>
    </row>
    <row r="179" spans="1:24" s="139" customFormat="1" x14ac:dyDescent="0.25">
      <c r="A179" s="33"/>
      <c r="B179" s="34"/>
      <c r="C179" s="34"/>
      <c r="D179" s="60"/>
      <c r="E179" s="186"/>
      <c r="F179" s="109"/>
      <c r="G179" s="110"/>
      <c r="H179" s="187"/>
      <c r="I179" s="188"/>
      <c r="J179" s="189"/>
      <c r="K179" s="110"/>
      <c r="L179" s="34"/>
      <c r="M179" s="34"/>
      <c r="N179" s="49">
        <v>44511</v>
      </c>
      <c r="O179" s="79"/>
      <c r="P179" s="50">
        <v>1560.5</v>
      </c>
      <c r="Q179" s="51">
        <v>44519</v>
      </c>
      <c r="R179" s="52"/>
      <c r="S179" s="50"/>
      <c r="T179" s="50"/>
      <c r="U179" s="45"/>
      <c r="V179" s="156"/>
      <c r="W179" s="47"/>
      <c r="X179" s="139">
        <v>44</v>
      </c>
    </row>
    <row r="180" spans="1:24" s="139" customFormat="1" x14ac:dyDescent="0.25">
      <c r="A180" s="33"/>
      <c r="B180" s="34"/>
      <c r="C180" s="34"/>
      <c r="D180" s="60"/>
      <c r="E180" s="186"/>
      <c r="F180" s="109"/>
      <c r="G180" s="110"/>
      <c r="H180" s="187"/>
      <c r="I180" s="188"/>
      <c r="J180" s="189"/>
      <c r="K180" s="110"/>
      <c r="L180" s="34"/>
      <c r="M180" s="34"/>
      <c r="N180" s="49">
        <v>44518</v>
      </c>
      <c r="O180" s="79"/>
      <c r="P180" s="50">
        <v>1560.5</v>
      </c>
      <c r="Q180" s="51">
        <v>44539</v>
      </c>
      <c r="R180" s="52"/>
      <c r="S180" s="50"/>
      <c r="T180" s="50"/>
      <c r="U180" s="45"/>
      <c r="V180" s="156"/>
      <c r="W180" s="47"/>
      <c r="X180" s="139">
        <v>44</v>
      </c>
    </row>
    <row r="181" spans="1:24" s="139" customFormat="1" x14ac:dyDescent="0.25">
      <c r="A181" s="33"/>
      <c r="B181" s="34"/>
      <c r="C181" s="34"/>
      <c r="D181" s="60"/>
      <c r="E181" s="186"/>
      <c r="F181" s="109"/>
      <c r="G181" s="110"/>
      <c r="H181" s="187"/>
      <c r="I181" s="188"/>
      <c r="J181" s="189"/>
      <c r="K181" s="110"/>
      <c r="L181" s="34"/>
      <c r="M181" s="34"/>
      <c r="N181" s="49">
        <v>44525</v>
      </c>
      <c r="O181" s="79"/>
      <c r="P181" s="50">
        <v>1560.5</v>
      </c>
      <c r="Q181" s="51">
        <v>44539</v>
      </c>
      <c r="R181" s="52"/>
      <c r="S181" s="50"/>
      <c r="T181" s="50"/>
      <c r="U181" s="45"/>
      <c r="V181" s="156"/>
      <c r="W181" s="47"/>
      <c r="X181" s="139">
        <v>44</v>
      </c>
    </row>
    <row r="182" spans="1:24" s="139" customFormat="1" x14ac:dyDescent="0.25">
      <c r="A182" s="33"/>
      <c r="B182" s="34"/>
      <c r="C182" s="34"/>
      <c r="D182" s="60"/>
      <c r="E182" s="186"/>
      <c r="F182" s="109"/>
      <c r="G182" s="110"/>
      <c r="H182" s="187"/>
      <c r="I182" s="188"/>
      <c r="J182" s="189"/>
      <c r="K182" s="110"/>
      <c r="L182" s="34"/>
      <c r="M182" s="34"/>
      <c r="N182" s="49">
        <v>44539</v>
      </c>
      <c r="O182" s="79"/>
      <c r="P182" s="50">
        <v>1540.5</v>
      </c>
      <c r="Q182" s="51">
        <v>44544</v>
      </c>
      <c r="R182" s="52"/>
      <c r="S182" s="50"/>
      <c r="T182" s="50"/>
      <c r="U182" s="45"/>
      <c r="V182" s="156"/>
      <c r="W182" s="47"/>
      <c r="X182" s="139">
        <v>44</v>
      </c>
    </row>
    <row r="183" spans="1:24" s="139" customFormat="1" x14ac:dyDescent="0.25">
      <c r="A183" s="33"/>
      <c r="B183" s="34"/>
      <c r="C183" s="34"/>
      <c r="D183" s="60"/>
      <c r="E183" s="186"/>
      <c r="F183" s="109"/>
      <c r="G183" s="110"/>
      <c r="H183" s="187"/>
      <c r="I183" s="188"/>
      <c r="J183" s="189"/>
      <c r="K183" s="110"/>
      <c r="L183" s="34"/>
      <c r="M183" s="34"/>
      <c r="N183" s="49">
        <v>44546</v>
      </c>
      <c r="O183" s="79"/>
      <c r="P183" s="50">
        <v>1540.5</v>
      </c>
      <c r="Q183" s="51">
        <v>44551</v>
      </c>
      <c r="R183" s="52"/>
      <c r="S183" s="50"/>
      <c r="T183" s="50"/>
      <c r="U183" s="45"/>
      <c r="V183" s="156"/>
      <c r="W183" s="47"/>
      <c r="X183" s="139">
        <v>44</v>
      </c>
    </row>
    <row r="184" spans="1:24" s="139" customFormat="1" x14ac:dyDescent="0.25">
      <c r="A184" s="33"/>
      <c r="B184" s="34"/>
      <c r="C184" s="34"/>
      <c r="D184" s="60"/>
      <c r="E184" s="186"/>
      <c r="F184" s="109"/>
      <c r="G184" s="110"/>
      <c r="H184" s="187"/>
      <c r="I184" s="188"/>
      <c r="J184" s="189"/>
      <c r="K184" s="110"/>
      <c r="L184" s="34"/>
      <c r="M184" s="34"/>
      <c r="N184" s="49">
        <v>44532</v>
      </c>
      <c r="O184" s="79"/>
      <c r="P184" s="50">
        <v>1540.5</v>
      </c>
      <c r="Q184" s="51">
        <v>44554</v>
      </c>
      <c r="R184" s="52"/>
      <c r="S184" s="50"/>
      <c r="T184" s="50"/>
      <c r="U184" s="45"/>
      <c r="V184" s="156"/>
      <c r="W184" s="47"/>
      <c r="X184" s="139">
        <v>44</v>
      </c>
    </row>
    <row r="185" spans="1:24" s="139" customFormat="1" x14ac:dyDescent="0.25">
      <c r="A185" s="33"/>
      <c r="B185" s="34"/>
      <c r="C185" s="34"/>
      <c r="D185" s="60"/>
      <c r="E185" s="186"/>
      <c r="F185" s="109"/>
      <c r="G185" s="110"/>
      <c r="H185" s="187"/>
      <c r="I185" s="188"/>
      <c r="J185" s="189"/>
      <c r="K185" s="110"/>
      <c r="L185" s="34"/>
      <c r="M185" s="34"/>
      <c r="N185" s="49">
        <v>44553</v>
      </c>
      <c r="O185" s="79"/>
      <c r="P185" s="50">
        <v>1540.5</v>
      </c>
      <c r="Q185" s="51">
        <v>44554</v>
      </c>
      <c r="R185" s="52"/>
      <c r="S185" s="50"/>
      <c r="T185" s="50"/>
      <c r="U185" s="45"/>
      <c r="V185" s="156"/>
      <c r="W185" s="47"/>
      <c r="X185" s="139">
        <v>44</v>
      </c>
    </row>
    <row r="186" spans="1:24" s="157" customFormat="1" ht="52.5" customHeight="1" x14ac:dyDescent="0.25">
      <c r="A186" s="33">
        <v>36</v>
      </c>
      <c r="B186" s="34"/>
      <c r="C186" s="34"/>
      <c r="D186" s="60" t="s">
        <v>59</v>
      </c>
      <c r="E186" s="186" t="s">
        <v>287</v>
      </c>
      <c r="F186" s="109">
        <v>44440</v>
      </c>
      <c r="G186" s="110" t="s">
        <v>228</v>
      </c>
      <c r="H186" s="187">
        <v>31200</v>
      </c>
      <c r="I186" s="188">
        <f>IF(X186 = 45, H186 + SUM(S186:S189) - SUM(T186:T189) - SUM(P186:P189) - V186,0)</f>
        <v>0</v>
      </c>
      <c r="J186" s="189"/>
      <c r="K186" s="110" t="s">
        <v>288</v>
      </c>
      <c r="L186" s="34"/>
      <c r="M186" s="34"/>
      <c r="N186" s="40">
        <v>44469</v>
      </c>
      <c r="O186" s="79"/>
      <c r="P186" s="42">
        <v>5680</v>
      </c>
      <c r="Q186" s="43">
        <v>44483</v>
      </c>
      <c r="R186" s="44"/>
      <c r="S186" s="42"/>
      <c r="T186" s="42"/>
      <c r="U186" s="34" t="s">
        <v>161</v>
      </c>
      <c r="V186" s="190">
        <v>8650</v>
      </c>
      <c r="W186" s="47"/>
      <c r="X186" s="157">
        <v>45</v>
      </c>
    </row>
    <row r="187" spans="1:24" s="139" customFormat="1" x14ac:dyDescent="0.25">
      <c r="A187" s="33"/>
      <c r="B187" s="34"/>
      <c r="C187" s="34"/>
      <c r="D187" s="60"/>
      <c r="E187" s="186"/>
      <c r="F187" s="109"/>
      <c r="G187" s="110"/>
      <c r="H187" s="187"/>
      <c r="I187" s="188"/>
      <c r="J187" s="189"/>
      <c r="K187" s="110"/>
      <c r="L187" s="34"/>
      <c r="M187" s="34"/>
      <c r="N187" s="49">
        <v>44498</v>
      </c>
      <c r="O187" s="79"/>
      <c r="P187" s="50">
        <v>6300</v>
      </c>
      <c r="Q187" s="51">
        <v>44522</v>
      </c>
      <c r="R187" s="52"/>
      <c r="S187" s="50"/>
      <c r="T187" s="50"/>
      <c r="U187" s="34"/>
      <c r="V187" s="190"/>
      <c r="W187" s="47"/>
      <c r="X187" s="139">
        <v>45</v>
      </c>
    </row>
    <row r="188" spans="1:24" s="139" customFormat="1" x14ac:dyDescent="0.25">
      <c r="A188" s="33"/>
      <c r="B188" s="34"/>
      <c r="C188" s="34"/>
      <c r="D188" s="60"/>
      <c r="E188" s="186"/>
      <c r="F188" s="109"/>
      <c r="G188" s="110"/>
      <c r="H188" s="187"/>
      <c r="I188" s="188"/>
      <c r="J188" s="189"/>
      <c r="K188" s="110"/>
      <c r="L188" s="34"/>
      <c r="M188" s="34"/>
      <c r="N188" s="49">
        <v>44530</v>
      </c>
      <c r="O188" s="79"/>
      <c r="P188" s="50">
        <v>5850</v>
      </c>
      <c r="Q188" s="51">
        <v>44544</v>
      </c>
      <c r="R188" s="52"/>
      <c r="S188" s="50"/>
      <c r="T188" s="50"/>
      <c r="U188" s="34"/>
      <c r="V188" s="190"/>
      <c r="W188" s="47"/>
      <c r="X188" s="139">
        <v>45</v>
      </c>
    </row>
    <row r="189" spans="1:24" s="139" customFormat="1" x14ac:dyDescent="0.25">
      <c r="A189" s="33"/>
      <c r="B189" s="34"/>
      <c r="C189" s="34"/>
      <c r="D189" s="60"/>
      <c r="E189" s="186"/>
      <c r="F189" s="109"/>
      <c r="G189" s="110"/>
      <c r="H189" s="187"/>
      <c r="I189" s="188"/>
      <c r="J189" s="189"/>
      <c r="K189" s="110"/>
      <c r="L189" s="34"/>
      <c r="M189" s="34"/>
      <c r="N189" s="49">
        <v>44558</v>
      </c>
      <c r="O189" s="79"/>
      <c r="P189" s="50">
        <v>4720</v>
      </c>
      <c r="Q189" s="51">
        <v>44559</v>
      </c>
      <c r="R189" s="52"/>
      <c r="S189" s="50"/>
      <c r="T189" s="50"/>
      <c r="U189" s="34"/>
      <c r="V189" s="190"/>
      <c r="W189" s="47"/>
      <c r="X189" s="139">
        <v>45</v>
      </c>
    </row>
    <row r="190" spans="1:24" s="157" customFormat="1" ht="59.25" customHeight="1" x14ac:dyDescent="0.25">
      <c r="A190" s="33">
        <v>37</v>
      </c>
      <c r="B190" s="34"/>
      <c r="C190" s="34"/>
      <c r="D190" s="60" t="s">
        <v>59</v>
      </c>
      <c r="E190" s="186" t="s">
        <v>289</v>
      </c>
      <c r="F190" s="109">
        <v>44440</v>
      </c>
      <c r="G190" s="110" t="s">
        <v>225</v>
      </c>
      <c r="H190" s="187">
        <v>117000</v>
      </c>
      <c r="I190" s="188">
        <f>IF(X190 = 46, H190 + SUM(S190:S193) - SUM(T190:T193) - SUM(P190:P193) - V190,0)</f>
        <v>0</v>
      </c>
      <c r="J190" s="189"/>
      <c r="K190" s="110" t="s">
        <v>288</v>
      </c>
      <c r="L190" s="34"/>
      <c r="M190" s="34"/>
      <c r="N190" s="40">
        <v>44469</v>
      </c>
      <c r="O190" s="79"/>
      <c r="P190" s="42">
        <v>29298</v>
      </c>
      <c r="Q190" s="43">
        <v>44483</v>
      </c>
      <c r="R190" s="44"/>
      <c r="S190" s="42"/>
      <c r="T190" s="42"/>
      <c r="U190" s="34" t="s">
        <v>161</v>
      </c>
      <c r="V190" s="190">
        <v>9660</v>
      </c>
      <c r="W190" s="47"/>
      <c r="X190" s="157">
        <v>46</v>
      </c>
    </row>
    <row r="191" spans="1:24" s="139" customFormat="1" x14ac:dyDescent="0.25">
      <c r="A191" s="33"/>
      <c r="B191" s="34"/>
      <c r="C191" s="34"/>
      <c r="D191" s="60"/>
      <c r="E191" s="186"/>
      <c r="F191" s="109"/>
      <c r="G191" s="110"/>
      <c r="H191" s="187"/>
      <c r="I191" s="188"/>
      <c r="J191" s="189"/>
      <c r="K191" s="110"/>
      <c r="L191" s="34"/>
      <c r="M191" s="34"/>
      <c r="N191" s="49">
        <v>44498</v>
      </c>
      <c r="O191" s="79"/>
      <c r="P191" s="50">
        <v>28986</v>
      </c>
      <c r="Q191" s="51">
        <v>44522</v>
      </c>
      <c r="R191" s="52"/>
      <c r="S191" s="50"/>
      <c r="T191" s="50"/>
      <c r="U191" s="34"/>
      <c r="V191" s="190"/>
      <c r="W191" s="47"/>
      <c r="X191" s="139">
        <v>46</v>
      </c>
    </row>
    <row r="192" spans="1:24" s="139" customFormat="1" x14ac:dyDescent="0.25">
      <c r="A192" s="33"/>
      <c r="B192" s="34"/>
      <c r="C192" s="34"/>
      <c r="D192" s="60"/>
      <c r="E192" s="186"/>
      <c r="F192" s="109"/>
      <c r="G192" s="110"/>
      <c r="H192" s="187"/>
      <c r="I192" s="188"/>
      <c r="J192" s="189"/>
      <c r="K192" s="110"/>
      <c r="L192" s="34"/>
      <c r="M192" s="34"/>
      <c r="N192" s="49">
        <v>44530</v>
      </c>
      <c r="O192" s="79"/>
      <c r="P192" s="50">
        <v>23982</v>
      </c>
      <c r="Q192" s="51">
        <v>44544</v>
      </c>
      <c r="R192" s="52"/>
      <c r="S192" s="50"/>
      <c r="T192" s="50"/>
      <c r="U192" s="34"/>
      <c r="V192" s="190"/>
      <c r="W192" s="47"/>
      <c r="X192" s="139">
        <v>46</v>
      </c>
    </row>
    <row r="193" spans="1:24" s="139" customFormat="1" x14ac:dyDescent="0.25">
      <c r="A193" s="33"/>
      <c r="B193" s="34"/>
      <c r="C193" s="34"/>
      <c r="D193" s="60"/>
      <c r="E193" s="186"/>
      <c r="F193" s="109"/>
      <c r="G193" s="110"/>
      <c r="H193" s="187"/>
      <c r="I193" s="188"/>
      <c r="J193" s="189"/>
      <c r="K193" s="110"/>
      <c r="L193" s="34"/>
      <c r="M193" s="34"/>
      <c r="N193" s="49">
        <v>44558</v>
      </c>
      <c r="O193" s="79"/>
      <c r="P193" s="50">
        <v>25074</v>
      </c>
      <c r="Q193" s="51">
        <v>44559</v>
      </c>
      <c r="R193" s="52"/>
      <c r="S193" s="50"/>
      <c r="T193" s="50"/>
      <c r="U193" s="34"/>
      <c r="V193" s="190"/>
      <c r="W193" s="47"/>
      <c r="X193" s="139">
        <v>46</v>
      </c>
    </row>
    <row r="194" spans="1:24" s="157" customFormat="1" ht="78.75" x14ac:dyDescent="0.4">
      <c r="A194" s="62">
        <v>38</v>
      </c>
      <c r="B194" s="44"/>
      <c r="C194" s="44"/>
      <c r="D194" s="179" t="s">
        <v>59</v>
      </c>
      <c r="E194" s="107" t="s">
        <v>290</v>
      </c>
      <c r="F194" s="122">
        <v>44449</v>
      </c>
      <c r="G194" s="92" t="s">
        <v>291</v>
      </c>
      <c r="H194" s="120">
        <v>86663.2</v>
      </c>
      <c r="I194" s="184">
        <f>IF(X194 = 47, H194 + SUM(S194:S194) - SUM(T194:T194) - SUM(P194:P194) - V194,0)</f>
        <v>0</v>
      </c>
      <c r="J194" s="185"/>
      <c r="K194" s="92" t="s">
        <v>292</v>
      </c>
      <c r="L194" s="44"/>
      <c r="M194" s="44"/>
      <c r="N194" s="40">
        <v>44456</v>
      </c>
      <c r="O194" s="40"/>
      <c r="P194" s="42">
        <v>86663.2</v>
      </c>
      <c r="Q194" s="43">
        <v>44463</v>
      </c>
      <c r="R194" s="44"/>
      <c r="S194" s="42"/>
      <c r="T194" s="42"/>
      <c r="U194" s="42"/>
      <c r="V194" s="170"/>
      <c r="W194" s="70"/>
      <c r="X194" s="157">
        <v>47</v>
      </c>
    </row>
    <row r="195" spans="1:24" s="157" customFormat="1" ht="52.5" x14ac:dyDescent="0.4">
      <c r="A195" s="62">
        <v>39</v>
      </c>
      <c r="B195" s="44"/>
      <c r="C195" s="44"/>
      <c r="D195" s="179" t="s">
        <v>59</v>
      </c>
      <c r="E195" s="107" t="s">
        <v>212</v>
      </c>
      <c r="F195" s="122">
        <v>44460</v>
      </c>
      <c r="G195" s="92" t="s">
        <v>293</v>
      </c>
      <c r="H195" s="120">
        <v>26900</v>
      </c>
      <c r="I195" s="184">
        <f>IF(X195 = 48, H195 + SUM(S195:S195) - SUM(T195:T195) - SUM(P195:P195) - V195,0)</f>
        <v>0</v>
      </c>
      <c r="J195" s="185"/>
      <c r="K195" s="92" t="s">
        <v>294</v>
      </c>
      <c r="L195" s="44"/>
      <c r="M195" s="44"/>
      <c r="N195" s="40">
        <v>44498</v>
      </c>
      <c r="O195" s="40"/>
      <c r="P195" s="42">
        <v>26900</v>
      </c>
      <c r="Q195" s="43">
        <v>40855</v>
      </c>
      <c r="R195" s="44"/>
      <c r="S195" s="42"/>
      <c r="T195" s="42"/>
      <c r="U195" s="42"/>
      <c r="V195" s="170"/>
      <c r="W195" s="70"/>
      <c r="X195" s="157">
        <v>48</v>
      </c>
    </row>
    <row r="196" spans="1:24" s="157" customFormat="1" ht="131.25" x14ac:dyDescent="0.4">
      <c r="A196" s="62">
        <v>40</v>
      </c>
      <c r="B196" s="44"/>
      <c r="C196" s="44"/>
      <c r="D196" s="179" t="s">
        <v>59</v>
      </c>
      <c r="E196" s="107" t="s">
        <v>295</v>
      </c>
      <c r="F196" s="122">
        <v>44467</v>
      </c>
      <c r="G196" s="92" t="s">
        <v>296</v>
      </c>
      <c r="H196" s="120">
        <v>223255</v>
      </c>
      <c r="I196" s="184">
        <f>IF(X196 = 49, H196 + SUM(S196:S196) - SUM(T196:T196) - SUM(P196:P196) - V196,0)</f>
        <v>0</v>
      </c>
      <c r="J196" s="185"/>
      <c r="K196" s="92" t="s">
        <v>297</v>
      </c>
      <c r="L196" s="44"/>
      <c r="M196" s="44"/>
      <c r="N196" s="40">
        <v>44467</v>
      </c>
      <c r="O196" s="40"/>
      <c r="P196" s="42">
        <v>223255</v>
      </c>
      <c r="Q196" s="43">
        <v>44469</v>
      </c>
      <c r="R196" s="44"/>
      <c r="S196" s="42"/>
      <c r="T196" s="42"/>
      <c r="U196" s="42"/>
      <c r="V196" s="170"/>
      <c r="W196" s="70"/>
      <c r="X196" s="157">
        <v>49</v>
      </c>
    </row>
    <row r="197" spans="1:24" s="157" customFormat="1" ht="56.25" customHeight="1" x14ac:dyDescent="0.4">
      <c r="A197" s="62">
        <v>41</v>
      </c>
      <c r="B197" s="44"/>
      <c r="C197" s="44"/>
      <c r="D197" s="179" t="s">
        <v>59</v>
      </c>
      <c r="E197" s="107" t="s">
        <v>298</v>
      </c>
      <c r="F197" s="122">
        <v>44463</v>
      </c>
      <c r="G197" s="92" t="s">
        <v>299</v>
      </c>
      <c r="H197" s="120">
        <v>65342</v>
      </c>
      <c r="I197" s="184">
        <f>IF(X197 = 50, H197 + SUM(S197:S197) - SUM(T197:T197) - SUM(P197:P197) - V197,0)</f>
        <v>0</v>
      </c>
      <c r="J197" s="185"/>
      <c r="K197" s="92" t="s">
        <v>300</v>
      </c>
      <c r="L197" s="44"/>
      <c r="M197" s="44"/>
      <c r="N197" s="40">
        <v>44463</v>
      </c>
      <c r="O197" s="40"/>
      <c r="P197" s="42">
        <v>65342</v>
      </c>
      <c r="Q197" s="43">
        <v>44468</v>
      </c>
      <c r="R197" s="44"/>
      <c r="S197" s="42"/>
      <c r="T197" s="42"/>
      <c r="U197" s="42"/>
      <c r="V197" s="170"/>
      <c r="W197" s="70"/>
      <c r="X197" s="157">
        <v>50</v>
      </c>
    </row>
    <row r="198" spans="1:24" s="157" customFormat="1" ht="54.75" customHeight="1" x14ac:dyDescent="0.4">
      <c r="A198" s="62">
        <v>42</v>
      </c>
      <c r="B198" s="44"/>
      <c r="C198" s="44"/>
      <c r="D198" s="179" t="s">
        <v>59</v>
      </c>
      <c r="E198" s="107" t="s">
        <v>301</v>
      </c>
      <c r="F198" s="91">
        <v>44497</v>
      </c>
      <c r="G198" s="92" t="s">
        <v>302</v>
      </c>
      <c r="H198" s="191">
        <v>129750</v>
      </c>
      <c r="I198" s="184">
        <f>IF(X198 = 51, H198 + SUM(S198:S198) - SUM(T198:T198) - SUM(P198:P198) - V198,0)</f>
        <v>0</v>
      </c>
      <c r="J198" s="185"/>
      <c r="K198" s="92" t="s">
        <v>303</v>
      </c>
      <c r="L198" s="44"/>
      <c r="M198" s="44"/>
      <c r="N198" s="40">
        <v>44497</v>
      </c>
      <c r="O198" s="40"/>
      <c r="P198" s="42">
        <v>129750</v>
      </c>
      <c r="Q198" s="43">
        <v>44508</v>
      </c>
      <c r="R198" s="44"/>
      <c r="S198" s="42"/>
      <c r="T198" s="42"/>
      <c r="U198" s="42"/>
      <c r="V198" s="170"/>
      <c r="W198" s="70"/>
      <c r="X198" s="157">
        <v>51</v>
      </c>
    </row>
    <row r="199" spans="1:24" s="157" customFormat="1" ht="111" x14ac:dyDescent="0.4">
      <c r="A199" s="62">
        <v>43</v>
      </c>
      <c r="B199" s="44"/>
      <c r="C199" s="44"/>
      <c r="D199" s="179" t="s">
        <v>59</v>
      </c>
      <c r="E199" s="192" t="s">
        <v>304</v>
      </c>
      <c r="F199" s="91">
        <v>40884</v>
      </c>
      <c r="G199" s="193" t="s">
        <v>305</v>
      </c>
      <c r="H199" s="194">
        <v>520000</v>
      </c>
      <c r="I199" s="72">
        <f>IF(X199 = 52, H199 + SUM(S199:S199) - SUM(T199:T199) - SUM(P199:P199) - V199,0)</f>
        <v>0</v>
      </c>
      <c r="J199" s="195"/>
      <c r="K199" s="196" t="s">
        <v>306</v>
      </c>
      <c r="L199" s="44"/>
      <c r="M199" s="44"/>
      <c r="N199" s="40">
        <v>44552</v>
      </c>
      <c r="O199" s="40"/>
      <c r="P199" s="42">
        <v>520000</v>
      </c>
      <c r="Q199" s="43">
        <v>44552</v>
      </c>
      <c r="R199" s="44"/>
      <c r="S199" s="42"/>
      <c r="T199" s="42"/>
      <c r="U199" s="42"/>
      <c r="V199" s="170"/>
      <c r="W199" s="70"/>
      <c r="X199" s="157">
        <v>52</v>
      </c>
    </row>
    <row r="200" spans="1:24" s="157" customFormat="1" ht="52.5" customHeight="1" x14ac:dyDescent="0.25">
      <c r="A200" s="33">
        <v>44</v>
      </c>
      <c r="B200" s="34"/>
      <c r="C200" s="34"/>
      <c r="D200" s="60" t="s">
        <v>59</v>
      </c>
      <c r="E200" s="197">
        <v>47</v>
      </c>
      <c r="F200" s="109">
        <v>44537</v>
      </c>
      <c r="G200" s="110" t="s">
        <v>307</v>
      </c>
      <c r="H200" s="187">
        <v>463130.06</v>
      </c>
      <c r="I200" s="39">
        <f>IF(X200 = 53, H200 + SUM(S200:S205) - SUM(T200:T205) - SUM(P200:P205) - V200,0)</f>
        <v>5.8207660913467407E-11</v>
      </c>
      <c r="J200" s="198">
        <f>P200+P201+P202+P203+P204+P205</f>
        <v>463130.05999999994</v>
      </c>
      <c r="K200" s="110" t="s">
        <v>231</v>
      </c>
      <c r="L200" s="34"/>
      <c r="M200" s="34"/>
      <c r="N200" s="40">
        <v>44540</v>
      </c>
      <c r="O200" s="79"/>
      <c r="P200" s="42">
        <v>171576.65</v>
      </c>
      <c r="Q200" s="43">
        <v>44551</v>
      </c>
      <c r="R200" s="44"/>
      <c r="S200" s="42"/>
      <c r="T200" s="42"/>
      <c r="U200" s="34"/>
      <c r="V200" s="164"/>
      <c r="W200" s="47"/>
      <c r="X200" s="157">
        <v>53</v>
      </c>
    </row>
    <row r="201" spans="1:24" s="139" customFormat="1" x14ac:dyDescent="0.25">
      <c r="A201" s="33"/>
      <c r="B201" s="34"/>
      <c r="C201" s="34"/>
      <c r="D201" s="60"/>
      <c r="E201" s="197"/>
      <c r="F201" s="109"/>
      <c r="G201" s="110"/>
      <c r="H201" s="187"/>
      <c r="I201" s="39"/>
      <c r="J201" s="198"/>
      <c r="K201" s="110"/>
      <c r="L201" s="34"/>
      <c r="M201" s="34"/>
      <c r="N201" s="49">
        <v>44540</v>
      </c>
      <c r="O201" s="79"/>
      <c r="P201" s="50">
        <v>10961.93</v>
      </c>
      <c r="Q201" s="51">
        <v>44551</v>
      </c>
      <c r="R201" s="52"/>
      <c r="S201" s="50"/>
      <c r="T201" s="50"/>
      <c r="U201" s="34"/>
      <c r="V201" s="164"/>
      <c r="W201" s="47"/>
      <c r="X201" s="139">
        <v>53</v>
      </c>
    </row>
    <row r="202" spans="1:24" s="139" customFormat="1" x14ac:dyDescent="0.25">
      <c r="A202" s="33"/>
      <c r="B202" s="34"/>
      <c r="C202" s="34"/>
      <c r="D202" s="60"/>
      <c r="E202" s="197"/>
      <c r="F202" s="109"/>
      <c r="G202" s="110"/>
      <c r="H202" s="187"/>
      <c r="I202" s="39"/>
      <c r="J202" s="198"/>
      <c r="K202" s="110"/>
      <c r="L202" s="34"/>
      <c r="M202" s="34"/>
      <c r="N202" s="49">
        <v>44554</v>
      </c>
      <c r="O202" s="79"/>
      <c r="P202" s="50">
        <v>220169.42</v>
      </c>
      <c r="Q202" s="51">
        <v>44559</v>
      </c>
      <c r="R202" s="52"/>
      <c r="S202" s="50"/>
      <c r="T202" s="50"/>
      <c r="U202" s="34"/>
      <c r="V202" s="164"/>
      <c r="W202" s="47"/>
      <c r="X202" s="139">
        <v>53</v>
      </c>
    </row>
    <row r="203" spans="1:24" s="139" customFormat="1" x14ac:dyDescent="0.25">
      <c r="A203" s="33"/>
      <c r="B203" s="34"/>
      <c r="C203" s="34"/>
      <c r="D203" s="60"/>
      <c r="E203" s="197"/>
      <c r="F203" s="109"/>
      <c r="G203" s="110"/>
      <c r="H203" s="187"/>
      <c r="I203" s="39"/>
      <c r="J203" s="198"/>
      <c r="K203" s="110"/>
      <c r="L203" s="34"/>
      <c r="M203" s="34"/>
      <c r="N203" s="49">
        <v>44554</v>
      </c>
      <c r="O203" s="79"/>
      <c r="P203" s="50">
        <v>14053.66</v>
      </c>
      <c r="Q203" s="51">
        <v>44559</v>
      </c>
      <c r="R203" s="52"/>
      <c r="S203" s="50"/>
      <c r="T203" s="50"/>
      <c r="U203" s="34"/>
      <c r="V203" s="164"/>
      <c r="W203" s="47"/>
      <c r="X203" s="139">
        <v>53</v>
      </c>
    </row>
    <row r="204" spans="1:24" s="139" customFormat="1" x14ac:dyDescent="0.25">
      <c r="A204" s="33"/>
      <c r="B204" s="34"/>
      <c r="C204" s="34"/>
      <c r="D204" s="60"/>
      <c r="E204" s="197"/>
      <c r="F204" s="109"/>
      <c r="G204" s="110"/>
      <c r="H204" s="187"/>
      <c r="I204" s="39"/>
      <c r="J204" s="198"/>
      <c r="K204" s="110"/>
      <c r="L204" s="34"/>
      <c r="M204" s="34"/>
      <c r="N204" s="49">
        <v>44558</v>
      </c>
      <c r="O204" s="79"/>
      <c r="P204" s="50">
        <v>43586.239999999998</v>
      </c>
      <c r="Q204" s="51">
        <v>44559</v>
      </c>
      <c r="R204" s="52"/>
      <c r="S204" s="50"/>
      <c r="T204" s="50"/>
      <c r="U204" s="34"/>
      <c r="V204" s="164"/>
      <c r="W204" s="47"/>
      <c r="X204" s="139">
        <v>53</v>
      </c>
    </row>
    <row r="205" spans="1:24" s="139" customFormat="1" x14ac:dyDescent="0.25">
      <c r="A205" s="33"/>
      <c r="B205" s="34"/>
      <c r="C205" s="34"/>
      <c r="D205" s="60"/>
      <c r="E205" s="197"/>
      <c r="F205" s="109"/>
      <c r="G205" s="110"/>
      <c r="H205" s="187"/>
      <c r="I205" s="39"/>
      <c r="J205" s="198"/>
      <c r="K205" s="110"/>
      <c r="L205" s="34"/>
      <c r="M205" s="34"/>
      <c r="N205" s="49">
        <v>44558</v>
      </c>
      <c r="O205" s="79"/>
      <c r="P205" s="50">
        <v>2782.16</v>
      </c>
      <c r="Q205" s="51">
        <v>44559</v>
      </c>
      <c r="R205" s="52"/>
      <c r="S205" s="50"/>
      <c r="T205" s="50"/>
      <c r="U205" s="34"/>
      <c r="V205" s="164"/>
      <c r="W205" s="47"/>
      <c r="X205" s="139">
        <v>53</v>
      </c>
    </row>
    <row r="206" spans="1:24" s="157" customFormat="1" ht="55.5" x14ac:dyDescent="0.4">
      <c r="A206" s="199">
        <v>45</v>
      </c>
      <c r="B206" s="200"/>
      <c r="C206" s="200"/>
      <c r="D206" s="179" t="s">
        <v>59</v>
      </c>
      <c r="E206" s="201" t="s">
        <v>308</v>
      </c>
      <c r="F206" s="122">
        <v>44551</v>
      </c>
      <c r="G206" s="196" t="s">
        <v>309</v>
      </c>
      <c r="H206" s="93">
        <v>166838</v>
      </c>
      <c r="I206" s="202">
        <f>IF(X206 = 54, H206 + SUM(S206:S206) - SUM(T206:T206) - SUM(P206:P206) - V206,0)</f>
        <v>0</v>
      </c>
      <c r="J206" s="203"/>
      <c r="K206" s="196" t="s">
        <v>65</v>
      </c>
      <c r="L206" s="200"/>
      <c r="M206" s="200"/>
      <c r="N206" s="204">
        <v>44551</v>
      </c>
      <c r="O206" s="204"/>
      <c r="P206" s="205">
        <v>166838</v>
      </c>
      <c r="Q206" s="206">
        <v>40901</v>
      </c>
      <c r="R206" s="200"/>
      <c r="S206" s="205"/>
      <c r="T206" s="205"/>
      <c r="U206" s="205"/>
      <c r="V206" s="207"/>
      <c r="W206" s="208"/>
      <c r="X206" s="157">
        <v>54</v>
      </c>
    </row>
    <row r="207" spans="1:24" s="157" customFormat="1" ht="84" customHeight="1" x14ac:dyDescent="0.25">
      <c r="A207" s="62">
        <v>46</v>
      </c>
      <c r="B207" s="44"/>
      <c r="C207" s="44"/>
      <c r="D207" s="179" t="s">
        <v>59</v>
      </c>
      <c r="E207" s="209" t="s">
        <v>310</v>
      </c>
      <c r="F207" s="210">
        <v>44545</v>
      </c>
      <c r="G207" s="211" t="s">
        <v>311</v>
      </c>
      <c r="H207" s="212">
        <v>74690</v>
      </c>
      <c r="I207" s="213">
        <f>IF(X207 = 55, H207 + SUM(S207:S207) - SUM(T207:T207) - SUM(P207:P207) - V207,0)</f>
        <v>0</v>
      </c>
      <c r="J207" s="214"/>
      <c r="K207" s="215" t="s">
        <v>88</v>
      </c>
      <c r="L207" s="44"/>
      <c r="M207" s="44"/>
      <c r="N207" s="40">
        <v>44545</v>
      </c>
      <c r="O207" s="40"/>
      <c r="P207" s="42">
        <v>74690</v>
      </c>
      <c r="Q207" s="43">
        <v>44547</v>
      </c>
      <c r="R207" s="44"/>
      <c r="S207" s="42"/>
      <c r="T207" s="42"/>
      <c r="U207" s="42"/>
      <c r="V207" s="170"/>
      <c r="W207" s="70"/>
      <c r="X207" s="157">
        <v>55</v>
      </c>
    </row>
    <row r="208" spans="1:24" s="157" customFormat="1" x14ac:dyDescent="0.25">
      <c r="A208" s="62">
        <v>47</v>
      </c>
      <c r="B208" s="44"/>
      <c r="C208" s="44"/>
      <c r="D208" s="179"/>
      <c r="E208" s="180"/>
      <c r="F208" s="181"/>
      <c r="G208" s="75"/>
      <c r="H208" s="182"/>
      <c r="I208" s="67">
        <f>IF(X208 = 56, H208 + SUM(S208:S208) - SUM(T208:T208) - SUM(P208:P208) - V208,0)</f>
        <v>0</v>
      </c>
      <c r="J208" s="169"/>
      <c r="K208" s="75"/>
      <c r="L208" s="44"/>
      <c r="M208" s="44"/>
      <c r="N208" s="40"/>
      <c r="O208" s="40"/>
      <c r="P208" s="42"/>
      <c r="Q208" s="43"/>
      <c r="R208" s="44"/>
      <c r="S208" s="42"/>
      <c r="T208" s="42"/>
      <c r="U208" s="42"/>
      <c r="V208" s="170"/>
      <c r="W208" s="70"/>
      <c r="X208" s="157">
        <v>56</v>
      </c>
    </row>
    <row r="209" spans="1:24" s="157" customFormat="1" x14ac:dyDescent="0.25">
      <c r="A209" s="62">
        <v>48</v>
      </c>
      <c r="B209" s="44"/>
      <c r="C209" s="44"/>
      <c r="D209" s="179"/>
      <c r="E209" s="180"/>
      <c r="F209" s="181"/>
      <c r="G209" s="75"/>
      <c r="H209" s="182"/>
      <c r="I209" s="67">
        <f>IF(X209 = 57, H209 + SUM(S209:S209) - SUM(T209:T209) - SUM(P209:P209) - V209,0)</f>
        <v>0</v>
      </c>
      <c r="J209" s="169"/>
      <c r="K209" s="75"/>
      <c r="L209" s="44"/>
      <c r="M209" s="44"/>
      <c r="N209" s="40"/>
      <c r="O209" s="40"/>
      <c r="P209" s="42"/>
      <c r="Q209" s="43"/>
      <c r="R209" s="44"/>
      <c r="S209" s="42"/>
      <c r="T209" s="42"/>
      <c r="U209" s="42"/>
      <c r="V209" s="170"/>
      <c r="W209" s="70"/>
      <c r="X209" s="157">
        <v>57</v>
      </c>
    </row>
    <row r="210" spans="1:24" s="157" customFormat="1" x14ac:dyDescent="0.25">
      <c r="A210" s="62">
        <v>49</v>
      </c>
      <c r="B210" s="44"/>
      <c r="C210" s="44"/>
      <c r="D210" s="179"/>
      <c r="E210" s="180"/>
      <c r="F210" s="181"/>
      <c r="G210" s="75"/>
      <c r="H210" s="182"/>
      <c r="I210" s="67">
        <f>IF(X210 = 58, H210 + SUM(S210:S210) - SUM(T210:T210) - SUM(P210:P210) - V210,0)</f>
        <v>0</v>
      </c>
      <c r="J210" s="169"/>
      <c r="K210" s="75"/>
      <c r="L210" s="44"/>
      <c r="M210" s="44"/>
      <c r="N210" s="40"/>
      <c r="O210" s="40"/>
      <c r="P210" s="42"/>
      <c r="Q210" s="43"/>
      <c r="R210" s="44"/>
      <c r="S210" s="42"/>
      <c r="T210" s="42"/>
      <c r="U210" s="42"/>
      <c r="V210" s="170"/>
      <c r="W210" s="70"/>
      <c r="X210" s="157">
        <v>58</v>
      </c>
    </row>
    <row r="211" spans="1:24" s="157" customFormat="1" x14ac:dyDescent="0.25">
      <c r="A211" s="199">
        <v>50</v>
      </c>
      <c r="B211" s="200"/>
      <c r="C211" s="200"/>
      <c r="D211" s="179"/>
      <c r="E211" s="216"/>
      <c r="F211" s="217"/>
      <c r="G211" s="218"/>
      <c r="H211" s="219"/>
      <c r="I211" s="202">
        <f>IF(X211 = 59, H211 + SUM(S211:S211) - SUM(T211:T211) - SUM(P211:P211) - V211,0)</f>
        <v>0</v>
      </c>
      <c r="J211" s="203"/>
      <c r="K211" s="218"/>
      <c r="L211" s="200"/>
      <c r="M211" s="200"/>
      <c r="N211" s="204"/>
      <c r="O211" s="204"/>
      <c r="P211" s="205"/>
      <c r="Q211" s="206"/>
      <c r="R211" s="200"/>
      <c r="S211" s="205"/>
      <c r="T211" s="205"/>
      <c r="U211" s="205"/>
      <c r="V211" s="207"/>
      <c r="W211" s="208"/>
      <c r="X211" s="157">
        <v>59</v>
      </c>
    </row>
    <row r="212" spans="1:24" s="157" customFormat="1" x14ac:dyDescent="0.25">
      <c r="A212" s="62">
        <v>51</v>
      </c>
      <c r="B212" s="44"/>
      <c r="C212" s="44"/>
      <c r="D212" s="179"/>
      <c r="E212" s="180"/>
      <c r="F212" s="181"/>
      <c r="G212" s="75"/>
      <c r="H212" s="182"/>
      <c r="I212" s="67">
        <f>IF(X212 = 60, H212 + SUM(S212:S212) - SUM(T212:T212) - SUM(P212:P212) - V212,0)</f>
        <v>0</v>
      </c>
      <c r="J212" s="169"/>
      <c r="K212" s="75"/>
      <c r="L212" s="44"/>
      <c r="M212" s="44"/>
      <c r="N212" s="40"/>
      <c r="O212" s="40"/>
      <c r="P212" s="42"/>
      <c r="Q212" s="43"/>
      <c r="R212" s="44"/>
      <c r="S212" s="42"/>
      <c r="T212" s="42"/>
      <c r="U212" s="42"/>
      <c r="V212" s="170"/>
      <c r="W212" s="70"/>
      <c r="X212" s="157">
        <v>60</v>
      </c>
    </row>
    <row r="213" spans="1:24" s="157" customFormat="1" x14ac:dyDescent="0.25">
      <c r="A213" s="62">
        <v>52</v>
      </c>
      <c r="B213" s="44"/>
      <c r="C213" s="44"/>
      <c r="D213" s="179"/>
      <c r="E213" s="180"/>
      <c r="F213" s="181"/>
      <c r="G213" s="75"/>
      <c r="H213" s="182"/>
      <c r="I213" s="67">
        <f>IF(X213 = 61, H213 + SUM(S213:S213) - SUM(T213:T213) - SUM(P213:P213) - V213,0)</f>
        <v>0</v>
      </c>
      <c r="J213" s="169"/>
      <c r="K213" s="75"/>
      <c r="L213" s="44"/>
      <c r="M213" s="44"/>
      <c r="N213" s="40"/>
      <c r="O213" s="40"/>
      <c r="P213" s="42"/>
      <c r="Q213" s="43"/>
      <c r="R213" s="44"/>
      <c r="S213" s="42"/>
      <c r="T213" s="42"/>
      <c r="U213" s="42"/>
      <c r="V213" s="170"/>
      <c r="W213" s="70"/>
      <c r="X213" s="157">
        <v>61</v>
      </c>
    </row>
    <row r="214" spans="1:24" s="157" customFormat="1" x14ac:dyDescent="0.25">
      <c r="A214" s="62">
        <v>53</v>
      </c>
      <c r="B214" s="44"/>
      <c r="C214" s="44"/>
      <c r="D214" s="179"/>
      <c r="E214" s="180"/>
      <c r="F214" s="181"/>
      <c r="G214" s="75"/>
      <c r="H214" s="182"/>
      <c r="I214" s="67">
        <f>IF(X214 = 62, H214 + SUM(S214:S214) - SUM(T214:T214) - SUM(P214:P214) - V214,0)</f>
        <v>0</v>
      </c>
      <c r="J214" s="169"/>
      <c r="K214" s="75"/>
      <c r="L214" s="44"/>
      <c r="M214" s="44"/>
      <c r="N214" s="40"/>
      <c r="O214" s="40"/>
      <c r="P214" s="42"/>
      <c r="Q214" s="43"/>
      <c r="R214" s="44"/>
      <c r="S214" s="42"/>
      <c r="T214" s="42"/>
      <c r="U214" s="42"/>
      <c r="V214" s="170"/>
      <c r="W214" s="70"/>
      <c r="X214" s="157">
        <v>62</v>
      </c>
    </row>
    <row r="215" spans="1:24" s="157" customFormat="1" x14ac:dyDescent="0.25">
      <c r="A215" s="62">
        <v>54</v>
      </c>
      <c r="B215" s="44"/>
      <c r="C215" s="44"/>
      <c r="D215" s="179"/>
      <c r="E215" s="180"/>
      <c r="F215" s="181"/>
      <c r="G215" s="75"/>
      <c r="H215" s="182"/>
      <c r="I215" s="67">
        <f>IF(X215 = 63, H215 + SUM(S215:S215) - SUM(T215:T215) - SUM(P215:P215) - V215,0)</f>
        <v>0</v>
      </c>
      <c r="J215" s="169"/>
      <c r="K215" s="75"/>
      <c r="L215" s="44"/>
      <c r="M215" s="44"/>
      <c r="N215" s="40"/>
      <c r="O215" s="40"/>
      <c r="P215" s="42"/>
      <c r="Q215" s="43"/>
      <c r="R215" s="44"/>
      <c r="S215" s="42"/>
      <c r="T215" s="42"/>
      <c r="U215" s="42"/>
      <c r="V215" s="170"/>
      <c r="W215" s="70"/>
      <c r="X215" s="157">
        <v>63</v>
      </c>
    </row>
    <row r="216" spans="1:24" x14ac:dyDescent="0.25">
      <c r="X216" s="5">
        <v>64</v>
      </c>
    </row>
    <row r="219" spans="1:24" x14ac:dyDescent="0.25">
      <c r="E219" s="16"/>
    </row>
  </sheetData>
  <mergeCells count="462">
    <mergeCell ref="L200:L205"/>
    <mergeCell ref="M200:M205"/>
    <mergeCell ref="O200:O205"/>
    <mergeCell ref="U200:U205"/>
    <mergeCell ref="V200:V205"/>
    <mergeCell ref="W200:W205"/>
    <mergeCell ref="F200:F205"/>
    <mergeCell ref="G200:G205"/>
    <mergeCell ref="H200:H205"/>
    <mergeCell ref="I200:I205"/>
    <mergeCell ref="J200:J205"/>
    <mergeCell ref="K200:K205"/>
    <mergeCell ref="M190:M193"/>
    <mergeCell ref="O190:O193"/>
    <mergeCell ref="U190:U193"/>
    <mergeCell ref="V190:V193"/>
    <mergeCell ref="W190:W193"/>
    <mergeCell ref="A200:A205"/>
    <mergeCell ref="B200:B205"/>
    <mergeCell ref="C200:C205"/>
    <mergeCell ref="D200:D205"/>
    <mergeCell ref="E200:E205"/>
    <mergeCell ref="G190:G193"/>
    <mergeCell ref="H190:H193"/>
    <mergeCell ref="I190:I193"/>
    <mergeCell ref="J190:J193"/>
    <mergeCell ref="K190:K193"/>
    <mergeCell ref="L190:L193"/>
    <mergeCell ref="A190:A193"/>
    <mergeCell ref="B190:B193"/>
    <mergeCell ref="C190:C193"/>
    <mergeCell ref="D190:D193"/>
    <mergeCell ref="E190:E193"/>
    <mergeCell ref="F190:F193"/>
    <mergeCell ref="L186:L189"/>
    <mergeCell ref="M186:M189"/>
    <mergeCell ref="O186:O189"/>
    <mergeCell ref="U186:U189"/>
    <mergeCell ref="V186:V189"/>
    <mergeCell ref="W186:W189"/>
    <mergeCell ref="F186:F189"/>
    <mergeCell ref="G186:G189"/>
    <mergeCell ref="H186:H189"/>
    <mergeCell ref="I186:I189"/>
    <mergeCell ref="J186:J189"/>
    <mergeCell ref="K186:K189"/>
    <mergeCell ref="M172:M185"/>
    <mergeCell ref="O172:O185"/>
    <mergeCell ref="U172:U185"/>
    <mergeCell ref="V172:V185"/>
    <mergeCell ref="W172:W185"/>
    <mergeCell ref="A186:A189"/>
    <mergeCell ref="B186:B189"/>
    <mergeCell ref="C186:C189"/>
    <mergeCell ref="D186:D189"/>
    <mergeCell ref="E186:E189"/>
    <mergeCell ref="G172:G185"/>
    <mergeCell ref="H172:H185"/>
    <mergeCell ref="I172:I185"/>
    <mergeCell ref="J172:J185"/>
    <mergeCell ref="K172:K185"/>
    <mergeCell ref="L172:L185"/>
    <mergeCell ref="A172:A185"/>
    <mergeCell ref="B172:B185"/>
    <mergeCell ref="C172:C185"/>
    <mergeCell ref="D172:D185"/>
    <mergeCell ref="E172:E185"/>
    <mergeCell ref="F172:F185"/>
    <mergeCell ref="L161:L167"/>
    <mergeCell ref="M161:M167"/>
    <mergeCell ref="O161:O167"/>
    <mergeCell ref="U161:U167"/>
    <mergeCell ref="V161:V167"/>
    <mergeCell ref="W161:W167"/>
    <mergeCell ref="F161:F167"/>
    <mergeCell ref="G161:G167"/>
    <mergeCell ref="H161:H167"/>
    <mergeCell ref="I161:I167"/>
    <mergeCell ref="J161:J167"/>
    <mergeCell ref="K161:K167"/>
    <mergeCell ref="M159:M160"/>
    <mergeCell ref="O159:O160"/>
    <mergeCell ref="U159:U160"/>
    <mergeCell ref="V159:V160"/>
    <mergeCell ref="W159:W160"/>
    <mergeCell ref="A161:A167"/>
    <mergeCell ref="B161:B167"/>
    <mergeCell ref="C161:C167"/>
    <mergeCell ref="D161:D167"/>
    <mergeCell ref="E161:E167"/>
    <mergeCell ref="G159:G160"/>
    <mergeCell ref="H159:H160"/>
    <mergeCell ref="I159:I160"/>
    <mergeCell ref="J159:J160"/>
    <mergeCell ref="K159:K160"/>
    <mergeCell ref="L159:L160"/>
    <mergeCell ref="A159:A160"/>
    <mergeCell ref="B159:B160"/>
    <mergeCell ref="C159:C160"/>
    <mergeCell ref="D159:D160"/>
    <mergeCell ref="E159:E160"/>
    <mergeCell ref="F159:F160"/>
    <mergeCell ref="L157:L158"/>
    <mergeCell ref="M157:M158"/>
    <mergeCell ref="O157:O158"/>
    <mergeCell ref="U157:U158"/>
    <mergeCell ref="V157:V158"/>
    <mergeCell ref="W157:W158"/>
    <mergeCell ref="F157:F158"/>
    <mergeCell ref="G157:G158"/>
    <mergeCell ref="H157:H158"/>
    <mergeCell ref="I157:I158"/>
    <mergeCell ref="J157:J158"/>
    <mergeCell ref="K157:K158"/>
    <mergeCell ref="M155:M156"/>
    <mergeCell ref="O155:O156"/>
    <mergeCell ref="U155:U156"/>
    <mergeCell ref="V155:V156"/>
    <mergeCell ref="W155:W156"/>
    <mergeCell ref="A157:A158"/>
    <mergeCell ref="B157:B158"/>
    <mergeCell ref="C157:C158"/>
    <mergeCell ref="D157:D158"/>
    <mergeCell ref="E157:E158"/>
    <mergeCell ref="G155:G156"/>
    <mergeCell ref="H155:H156"/>
    <mergeCell ref="I155:I156"/>
    <mergeCell ref="J155:J156"/>
    <mergeCell ref="K155:K156"/>
    <mergeCell ref="L155:L156"/>
    <mergeCell ref="A155:A156"/>
    <mergeCell ref="B155:B156"/>
    <mergeCell ref="C155:C156"/>
    <mergeCell ref="D155:D156"/>
    <mergeCell ref="E155:E156"/>
    <mergeCell ref="F155:F156"/>
    <mergeCell ref="L153:L154"/>
    <mergeCell ref="M153:M154"/>
    <mergeCell ref="O153:O154"/>
    <mergeCell ref="U153:U154"/>
    <mergeCell ref="V153:V154"/>
    <mergeCell ref="W153:W154"/>
    <mergeCell ref="F153:F154"/>
    <mergeCell ref="G153:G154"/>
    <mergeCell ref="H153:H154"/>
    <mergeCell ref="I153:I154"/>
    <mergeCell ref="J153:J154"/>
    <mergeCell ref="K153:K154"/>
    <mergeCell ref="M148:M152"/>
    <mergeCell ref="O148:O152"/>
    <mergeCell ref="U148:U152"/>
    <mergeCell ref="V148:V152"/>
    <mergeCell ref="W148:W152"/>
    <mergeCell ref="A153:A154"/>
    <mergeCell ref="B153:B154"/>
    <mergeCell ref="C153:C154"/>
    <mergeCell ref="D153:D154"/>
    <mergeCell ref="E153:E154"/>
    <mergeCell ref="G148:G152"/>
    <mergeCell ref="H148:H152"/>
    <mergeCell ref="I148:I152"/>
    <mergeCell ref="J148:J152"/>
    <mergeCell ref="K148:K152"/>
    <mergeCell ref="L148:L152"/>
    <mergeCell ref="A148:A152"/>
    <mergeCell ref="B148:B152"/>
    <mergeCell ref="C148:C152"/>
    <mergeCell ref="D148:D152"/>
    <mergeCell ref="E148:E152"/>
    <mergeCell ref="F148:F152"/>
    <mergeCell ref="L142:L144"/>
    <mergeCell ref="M142:M144"/>
    <mergeCell ref="O142:O144"/>
    <mergeCell ref="U142:U144"/>
    <mergeCell ref="V142:V144"/>
    <mergeCell ref="W142:W144"/>
    <mergeCell ref="F142:F144"/>
    <mergeCell ref="G142:G144"/>
    <mergeCell ref="H142:H144"/>
    <mergeCell ref="I142:I144"/>
    <mergeCell ref="J142:J144"/>
    <mergeCell ref="K142:K144"/>
    <mergeCell ref="M139:M140"/>
    <mergeCell ref="O139:O140"/>
    <mergeCell ref="U139:U140"/>
    <mergeCell ref="V139:V140"/>
    <mergeCell ref="W139:W140"/>
    <mergeCell ref="A142:A144"/>
    <mergeCell ref="B142:B144"/>
    <mergeCell ref="C142:C144"/>
    <mergeCell ref="D142:D144"/>
    <mergeCell ref="E142:E144"/>
    <mergeCell ref="G139:G140"/>
    <mergeCell ref="H139:H140"/>
    <mergeCell ref="I139:I140"/>
    <mergeCell ref="J139:J140"/>
    <mergeCell ref="K139:K140"/>
    <mergeCell ref="L139:L140"/>
    <mergeCell ref="A139:A140"/>
    <mergeCell ref="B139:B140"/>
    <mergeCell ref="C139:C140"/>
    <mergeCell ref="D139:D140"/>
    <mergeCell ref="E139:E140"/>
    <mergeCell ref="F139:F140"/>
    <mergeCell ref="L130:L137"/>
    <mergeCell ref="M130:M137"/>
    <mergeCell ref="O130:O137"/>
    <mergeCell ref="U130:U137"/>
    <mergeCell ref="V130:V137"/>
    <mergeCell ref="W130:W137"/>
    <mergeCell ref="F130:F137"/>
    <mergeCell ref="G130:G137"/>
    <mergeCell ref="H130:H137"/>
    <mergeCell ref="I130:I137"/>
    <mergeCell ref="J130:J137"/>
    <mergeCell ref="K130:K137"/>
    <mergeCell ref="M122:M127"/>
    <mergeCell ref="O122:O127"/>
    <mergeCell ref="U122:U127"/>
    <mergeCell ref="V122:V127"/>
    <mergeCell ref="W122:W127"/>
    <mergeCell ref="A130:A137"/>
    <mergeCell ref="B130:B137"/>
    <mergeCell ref="C130:C137"/>
    <mergeCell ref="D130:D137"/>
    <mergeCell ref="E130:E137"/>
    <mergeCell ref="G122:G127"/>
    <mergeCell ref="H122:H127"/>
    <mergeCell ref="I122:I127"/>
    <mergeCell ref="J122:J127"/>
    <mergeCell ref="K122:K127"/>
    <mergeCell ref="L122:L127"/>
    <mergeCell ref="A122:A127"/>
    <mergeCell ref="B122:B127"/>
    <mergeCell ref="C122:C127"/>
    <mergeCell ref="D122:D127"/>
    <mergeCell ref="E122:E127"/>
    <mergeCell ref="F122:F127"/>
    <mergeCell ref="L119:L121"/>
    <mergeCell ref="M119:M121"/>
    <mergeCell ref="O119:O121"/>
    <mergeCell ref="U119:U121"/>
    <mergeCell ref="V119:V121"/>
    <mergeCell ref="W119:W121"/>
    <mergeCell ref="F119:F121"/>
    <mergeCell ref="G119:G121"/>
    <mergeCell ref="H119:H121"/>
    <mergeCell ref="I119:I121"/>
    <mergeCell ref="J119:J121"/>
    <mergeCell ref="K119:K121"/>
    <mergeCell ref="M113:M118"/>
    <mergeCell ref="O113:O118"/>
    <mergeCell ref="U113:U118"/>
    <mergeCell ref="V113:V118"/>
    <mergeCell ref="W113:W118"/>
    <mergeCell ref="A119:A121"/>
    <mergeCell ref="B119:B121"/>
    <mergeCell ref="C119:C121"/>
    <mergeCell ref="D119:D121"/>
    <mergeCell ref="E119:E121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L109:L112"/>
    <mergeCell ref="M109:M112"/>
    <mergeCell ref="O109:O112"/>
    <mergeCell ref="U109:U112"/>
    <mergeCell ref="V109:V112"/>
    <mergeCell ref="W109:W112"/>
    <mergeCell ref="F109:F112"/>
    <mergeCell ref="G109:G112"/>
    <mergeCell ref="H109:H112"/>
    <mergeCell ref="I109:I112"/>
    <mergeCell ref="J109:J112"/>
    <mergeCell ref="K109:K112"/>
    <mergeCell ref="M103:M108"/>
    <mergeCell ref="O103:O108"/>
    <mergeCell ref="U103:U108"/>
    <mergeCell ref="V103:V108"/>
    <mergeCell ref="W103:W108"/>
    <mergeCell ref="A109:A112"/>
    <mergeCell ref="B109:B112"/>
    <mergeCell ref="C109:C112"/>
    <mergeCell ref="D109:D112"/>
    <mergeCell ref="E109:E112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L97:L102"/>
    <mergeCell ref="M97:M102"/>
    <mergeCell ref="O97:O102"/>
    <mergeCell ref="U97:U102"/>
    <mergeCell ref="V97:V102"/>
    <mergeCell ref="W97:W102"/>
    <mergeCell ref="F97:F102"/>
    <mergeCell ref="G97:G102"/>
    <mergeCell ref="H97:H102"/>
    <mergeCell ref="I97:I102"/>
    <mergeCell ref="J97:J102"/>
    <mergeCell ref="K97:K102"/>
    <mergeCell ref="M80:M96"/>
    <mergeCell ref="O80:O96"/>
    <mergeCell ref="U80:U96"/>
    <mergeCell ref="V80:V96"/>
    <mergeCell ref="W80:W96"/>
    <mergeCell ref="A97:A102"/>
    <mergeCell ref="B97:B102"/>
    <mergeCell ref="C97:C102"/>
    <mergeCell ref="D97:D102"/>
    <mergeCell ref="E97:E102"/>
    <mergeCell ref="G80:G96"/>
    <mergeCell ref="H80:H96"/>
    <mergeCell ref="I80:I96"/>
    <mergeCell ref="J80:J96"/>
    <mergeCell ref="K80:K96"/>
    <mergeCell ref="L80:L96"/>
    <mergeCell ref="A80:A96"/>
    <mergeCell ref="B80:B96"/>
    <mergeCell ref="C80:C96"/>
    <mergeCell ref="D80:D96"/>
    <mergeCell ref="E80:E96"/>
    <mergeCell ref="F80:F96"/>
    <mergeCell ref="L68:L79"/>
    <mergeCell ref="M68:M79"/>
    <mergeCell ref="O68:O79"/>
    <mergeCell ref="U68:U79"/>
    <mergeCell ref="V68:V79"/>
    <mergeCell ref="W68:W79"/>
    <mergeCell ref="F68:F79"/>
    <mergeCell ref="G68:G79"/>
    <mergeCell ref="H68:H79"/>
    <mergeCell ref="I68:I79"/>
    <mergeCell ref="J68:J79"/>
    <mergeCell ref="K68:K79"/>
    <mergeCell ref="M62:M67"/>
    <mergeCell ref="O62:O67"/>
    <mergeCell ref="U62:U67"/>
    <mergeCell ref="V62:V67"/>
    <mergeCell ref="W62:W67"/>
    <mergeCell ref="A68:A79"/>
    <mergeCell ref="B68:B79"/>
    <mergeCell ref="C68:C79"/>
    <mergeCell ref="D68:D79"/>
    <mergeCell ref="E68:E79"/>
    <mergeCell ref="G62:G67"/>
    <mergeCell ref="H62:H67"/>
    <mergeCell ref="I62:I67"/>
    <mergeCell ref="J62:J67"/>
    <mergeCell ref="K62:K67"/>
    <mergeCell ref="L62:L67"/>
    <mergeCell ref="A62:A67"/>
    <mergeCell ref="B62:B67"/>
    <mergeCell ref="C62:C67"/>
    <mergeCell ref="D62:D67"/>
    <mergeCell ref="E62:E67"/>
    <mergeCell ref="F62:F67"/>
    <mergeCell ref="L48:L61"/>
    <mergeCell ref="M48:M61"/>
    <mergeCell ref="O48:O61"/>
    <mergeCell ref="U48:U61"/>
    <mergeCell ref="V48:V61"/>
    <mergeCell ref="W48:W61"/>
    <mergeCell ref="F48:F61"/>
    <mergeCell ref="G48:G61"/>
    <mergeCell ref="H48:H61"/>
    <mergeCell ref="I48:I61"/>
    <mergeCell ref="J48:J61"/>
    <mergeCell ref="K48:K61"/>
    <mergeCell ref="M45:M47"/>
    <mergeCell ref="O45:O47"/>
    <mergeCell ref="U45:U47"/>
    <mergeCell ref="V45:V47"/>
    <mergeCell ref="W45:W47"/>
    <mergeCell ref="A48:A61"/>
    <mergeCell ref="B48:B61"/>
    <mergeCell ref="C48:C61"/>
    <mergeCell ref="D48:D61"/>
    <mergeCell ref="E48:E61"/>
    <mergeCell ref="G45:G47"/>
    <mergeCell ref="H45:H47"/>
    <mergeCell ref="I45:I47"/>
    <mergeCell ref="J45:J47"/>
    <mergeCell ref="K45:K47"/>
    <mergeCell ref="L45:L47"/>
    <mergeCell ref="A45:A47"/>
    <mergeCell ref="B45:B47"/>
    <mergeCell ref="C45:C47"/>
    <mergeCell ref="D45:D47"/>
    <mergeCell ref="E45:E47"/>
    <mergeCell ref="F45:F47"/>
    <mergeCell ref="L33:L44"/>
    <mergeCell ref="M33:M44"/>
    <mergeCell ref="O33:O44"/>
    <mergeCell ref="U33:U44"/>
    <mergeCell ref="V33:V44"/>
    <mergeCell ref="W33:W44"/>
    <mergeCell ref="F33:F44"/>
    <mergeCell ref="G33:G44"/>
    <mergeCell ref="H33:H44"/>
    <mergeCell ref="I33:I44"/>
    <mergeCell ref="J33:J44"/>
    <mergeCell ref="K33:K44"/>
    <mergeCell ref="M21:M32"/>
    <mergeCell ref="O21:O32"/>
    <mergeCell ref="U21:U32"/>
    <mergeCell ref="V21:V32"/>
    <mergeCell ref="W21:W32"/>
    <mergeCell ref="A33:A44"/>
    <mergeCell ref="B33:B44"/>
    <mergeCell ref="C33:C44"/>
    <mergeCell ref="D33:D44"/>
    <mergeCell ref="E33:E44"/>
    <mergeCell ref="G21:G32"/>
    <mergeCell ref="H21:H32"/>
    <mergeCell ref="I21:I32"/>
    <mergeCell ref="J21:J32"/>
    <mergeCell ref="K21:K32"/>
    <mergeCell ref="L21:L32"/>
    <mergeCell ref="O9:O20"/>
    <mergeCell ref="U9:U20"/>
    <mergeCell ref="V9:V20"/>
    <mergeCell ref="W9:W20"/>
    <mergeCell ref="A21:A32"/>
    <mergeCell ref="B21:B32"/>
    <mergeCell ref="C21:C32"/>
    <mergeCell ref="D21:D32"/>
    <mergeCell ref="E21:E32"/>
    <mergeCell ref="F21:F32"/>
    <mergeCell ref="H9:H20"/>
    <mergeCell ref="I9:I20"/>
    <mergeCell ref="J9:J20"/>
    <mergeCell ref="K9:K20"/>
    <mergeCell ref="L9:L20"/>
    <mergeCell ref="M9:M20"/>
    <mergeCell ref="F2:G2"/>
    <mergeCell ref="N2:O2"/>
    <mergeCell ref="S2:U2"/>
    <mergeCell ref="A9:A20"/>
    <mergeCell ref="B9:B20"/>
    <mergeCell ref="C9:C20"/>
    <mergeCell ref="D9:D20"/>
    <mergeCell ref="E9:E20"/>
    <mergeCell ref="F9:F20"/>
    <mergeCell ref="G9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4п</vt:lpstr>
      <vt:lpstr>5п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2022-01-17T07:31:07Z</dcterms:modified>
</cp:coreProperties>
</file>